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5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ickS\Desktop\"/>
    </mc:Choice>
  </mc:AlternateContent>
  <xr:revisionPtr revIDLastSave="0" documentId="8_{CE7DAE5B-0359-40BE-A989-FDD413C22CD1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Front Specification" sheetId="1" r:id="rId1"/>
    <sheet name="Handle Specification" sheetId="2" r:id="rId2"/>
    <sheet name="Costing" sheetId="3" r:id="rId3"/>
    <sheet name="Frame Options" sheetId="4" r:id="rId4"/>
    <sheet name="Insert and Handle Options" sheetId="5" r:id="rId5"/>
  </sheets>
  <definedNames>
    <definedName name="_105°">'Front Specification'!$AB$29:$AB$31</definedName>
    <definedName name="_110°">'Front Specification'!$AC$29:$AC$31</definedName>
    <definedName name="_165°">'Front Specification'!$AG$29:$AG$31</definedName>
    <definedName name="_30°">'Front Specification'!$AD$29:$AD$31</definedName>
    <definedName name="_45°">'Front Specification'!$AE$29:$AE$31</definedName>
    <definedName name="_90°">'Front Specification'!$AF$29:$AF$31</definedName>
    <definedName name="Clear_Glass">'Front Specification'!$AC$15:$AC$26</definedName>
    <definedName name="Frame_Only">'Front Specification'!$AB$15:$AB$26</definedName>
    <definedName name="Frame_R1">'Front Specification'!$AB$4:$AB$8</definedName>
    <definedName name="Frame_R10">'Front Specification'!$AD$4:$AD$8</definedName>
    <definedName name="Frame_R11">'Front Specification'!$AE$4:$AE$8</definedName>
    <definedName name="Frame_R13">'Front Specification'!$AF$4:$AF$8</definedName>
    <definedName name="Frame_R15">'Front Specification'!$AG$4:$AG$8</definedName>
    <definedName name="Frame_R4">'Front Specification'!$AC$4:$AC$8</definedName>
    <definedName name="Frame_R50___R51">'Front Specification'!$AH$4:$AH$8</definedName>
    <definedName name="Frame_R50_R51">'Front Specification'!$AH$4:$AH$8</definedName>
    <definedName name="Frame_R5051">'Front Specification'!$AH$4:$AH$8</definedName>
    <definedName name="Frame_R50R51">'Front Specification'!$AH$4:$AH$8</definedName>
    <definedName name="Full_Overlay">'Front Specification'!$AB$29:$AB$33</definedName>
    <definedName name="Half_Overlay">'Front Specification'!$AC$29:$AC$33</definedName>
    <definedName name="Inset">'Front Specification'!$AD$29:$AD$33</definedName>
    <definedName name="Lacobel_Classics">'Front Specification'!$AI$15:$AI$26</definedName>
    <definedName name="Lacobel_Exclusives">'Front Specification'!$AK$15:$AK$26</definedName>
    <definedName name="Lacobel_Trendies">'Front Specification'!$AJ$15:$AJ$26</definedName>
    <definedName name="Lakomat_Glass">'Front Specification'!$AE$15:$AE$26</definedName>
    <definedName name="Matelac_Classics">'Front Specification'!$AL$15:$AL$26</definedName>
    <definedName name="Matelac_Exclusives">'Front Specification'!$AN$15:$AN$26</definedName>
    <definedName name="Matelac_Trendies">'Front Specification'!$AM$15:$AM$26</definedName>
    <definedName name="Mirror_Glass">'Front Specification'!$AH$15:$AH$26</definedName>
    <definedName name="No" localSheetId="0">'Front Specification'!$AC$11:$AC$12</definedName>
    <definedName name="No">'Handle Specification'!$Z$6:$Z$7</definedName>
    <definedName name="No_Insert">'Front Specification'!$AB$15:$AB$26</definedName>
    <definedName name="Other">'Front Specification'!$AE$29:$AE$33</definedName>
    <definedName name="Planibel_Dark_Tint_Glass">'Front Specification'!$AG$15:$AG$26</definedName>
    <definedName name="Planibel_Light_Tint_Glass">'Front Specification'!$AF$15:$AF$26</definedName>
    <definedName name="Porous_Concrete">'Front Specification'!$AP$15:$AP$26</definedName>
    <definedName name="_xlnm.Print_Area" localSheetId="2">Costing!$A$1:$V$30</definedName>
    <definedName name="_xlnm.Print_Area" localSheetId="3">'Frame Options'!$A$1:$G$28</definedName>
    <definedName name="_xlnm.Print_Area" localSheetId="0">'Front Specification'!$A$1:$V$43</definedName>
    <definedName name="_xlnm.Print_Area" localSheetId="1">'Handle Specification'!$A$1:$V$35</definedName>
    <definedName name="_xlnm.Print_Area" localSheetId="4">'Insert and Handle Options'!$A$1:$D$197</definedName>
    <definedName name="_xlnm.Print_Titles" localSheetId="2">Costing!$A:$B,Costing!$1:$3</definedName>
    <definedName name="_xlnm.Print_Titles" localSheetId="0">'Front Specification'!$A:$B,'Front Specification'!$1:$3</definedName>
    <definedName name="_xlnm.Print_Titles" localSheetId="1">'Handle Specification'!$A:$B,'Handle Specification'!$1:$3</definedName>
    <definedName name="Profile_LU_11">'Handle Specification'!$AA$10:$AA$12</definedName>
    <definedName name="Profile_LU_15">'Handle Specification'!$AB$10:$AB$12</definedName>
    <definedName name="Profile_LU_9">'Handle Specification'!$Z$10:$Z$12</definedName>
    <definedName name="Profile_LU11">'Handle Specification'!$AA$10:$AA$12</definedName>
    <definedName name="Profile_LU15">'Handle Specification'!$AB$10:$AB$12</definedName>
    <definedName name="Profile_LU9">'Handle Specification'!$Z$10:$Z$12</definedName>
    <definedName name="Satinato_Glass">'Front Specification'!$AD$15:$AD$26</definedName>
    <definedName name="Smooth_Concrete">'Front Specification'!$AO$15:$AO$26</definedName>
    <definedName name="Travertine_Concrete">'Front Specification'!$AP$15:$AP$26</definedName>
    <definedName name="Yes" localSheetId="0">'Front Specification'!$AB$11:$AB$12</definedName>
    <definedName name="Yes">'Handle Specification'!$Y$6:$Y$7</definedName>
  </definedNames>
  <calcPr calcId="191029" fullPrecision="0"/>
</workbook>
</file>

<file path=xl/calcChain.xml><?xml version="1.0" encoding="utf-8"?>
<calcChain xmlns="http://schemas.openxmlformats.org/spreadsheetml/2006/main">
  <c r="V34" i="3" l="1"/>
  <c r="U34" i="3"/>
  <c r="T34" i="3"/>
  <c r="S34" i="3"/>
  <c r="R34" i="3"/>
  <c r="Q34" i="3"/>
  <c r="P34" i="3"/>
  <c r="O34" i="3"/>
  <c r="N34" i="3"/>
  <c r="M34" i="3"/>
  <c r="L34" i="3"/>
  <c r="K34" i="3"/>
  <c r="J34" i="3"/>
  <c r="I34" i="3"/>
  <c r="H34" i="3"/>
  <c r="G34" i="3"/>
  <c r="F34" i="3"/>
  <c r="D34" i="3"/>
  <c r="C34" i="3"/>
  <c r="E34" i="3"/>
  <c r="V38" i="3" l="1"/>
  <c r="U38" i="3"/>
  <c r="T38" i="3"/>
  <c r="S38" i="3"/>
  <c r="R38" i="3"/>
  <c r="Q38" i="3"/>
  <c r="P38" i="3"/>
  <c r="O38" i="3"/>
  <c r="N38" i="3"/>
  <c r="M38" i="3"/>
  <c r="L38" i="3"/>
  <c r="K38" i="3"/>
  <c r="J38" i="3"/>
  <c r="I38" i="3"/>
  <c r="H38" i="3"/>
  <c r="G38" i="3"/>
  <c r="F38" i="3"/>
  <c r="E38" i="3"/>
  <c r="D38" i="3"/>
  <c r="V37" i="3"/>
  <c r="U37" i="3"/>
  <c r="T37" i="3"/>
  <c r="S37" i="3"/>
  <c r="R37" i="3"/>
  <c r="Q37" i="3"/>
  <c r="P37" i="3"/>
  <c r="O37" i="3"/>
  <c r="N37" i="3"/>
  <c r="M37" i="3"/>
  <c r="L37" i="3"/>
  <c r="K37" i="3"/>
  <c r="J37" i="3"/>
  <c r="I37" i="3"/>
  <c r="H37" i="3"/>
  <c r="G37" i="3"/>
  <c r="F37" i="3"/>
  <c r="E37" i="3"/>
  <c r="D37" i="3"/>
  <c r="V36" i="3"/>
  <c r="U36" i="3"/>
  <c r="T36" i="3"/>
  <c r="S36" i="3"/>
  <c r="R36" i="3"/>
  <c r="Q36" i="3"/>
  <c r="P36" i="3"/>
  <c r="O36" i="3"/>
  <c r="N36" i="3"/>
  <c r="M36" i="3"/>
  <c r="L36" i="3"/>
  <c r="K36" i="3"/>
  <c r="J36" i="3"/>
  <c r="I36" i="3"/>
  <c r="H36" i="3"/>
  <c r="G36" i="3"/>
  <c r="F36" i="3"/>
  <c r="E36" i="3"/>
  <c r="D36" i="3"/>
  <c r="V35" i="3"/>
  <c r="U35" i="3"/>
  <c r="T35" i="3"/>
  <c r="S35" i="3"/>
  <c r="R35" i="3"/>
  <c r="Q35" i="3"/>
  <c r="P35" i="3"/>
  <c r="O35" i="3"/>
  <c r="N35" i="3"/>
  <c r="M35" i="3"/>
  <c r="L35" i="3"/>
  <c r="K35" i="3"/>
  <c r="J35" i="3"/>
  <c r="I35" i="3"/>
  <c r="H35" i="3"/>
  <c r="G35" i="3"/>
  <c r="F35" i="3"/>
  <c r="E35" i="3"/>
  <c r="D35" i="3"/>
  <c r="V33" i="3"/>
  <c r="U33" i="3"/>
  <c r="T33" i="3"/>
  <c r="S33" i="3"/>
  <c r="R33" i="3"/>
  <c r="Q33" i="3"/>
  <c r="P33" i="3"/>
  <c r="O33" i="3"/>
  <c r="N33" i="3"/>
  <c r="M33" i="3"/>
  <c r="L33" i="3"/>
  <c r="K33" i="3"/>
  <c r="J33" i="3"/>
  <c r="I33" i="3"/>
  <c r="H33" i="3"/>
  <c r="G33" i="3"/>
  <c r="F33" i="3"/>
  <c r="E33" i="3"/>
  <c r="D33" i="3"/>
  <c r="V32" i="3"/>
  <c r="U32" i="3"/>
  <c r="T32" i="3"/>
  <c r="S32" i="3"/>
  <c r="R32" i="3"/>
  <c r="Q32" i="3"/>
  <c r="P32" i="3"/>
  <c r="O32" i="3"/>
  <c r="N32" i="3"/>
  <c r="M32" i="3"/>
  <c r="L32" i="3"/>
  <c r="K32" i="3"/>
  <c r="J32" i="3"/>
  <c r="I32" i="3"/>
  <c r="H32" i="3"/>
  <c r="G32" i="3"/>
  <c r="F32" i="3"/>
  <c r="E32" i="3"/>
  <c r="D32" i="3"/>
  <c r="C35" i="3" l="1"/>
  <c r="C33" i="3" l="1"/>
  <c r="F50" i="5" l="1"/>
  <c r="G50" i="5" s="1"/>
  <c r="H50" i="5" s="1"/>
  <c r="F41" i="5"/>
  <c r="G41" i="5" s="1"/>
  <c r="H41" i="5" s="1"/>
  <c r="F31" i="5"/>
  <c r="G31" i="5" s="1"/>
  <c r="H31" i="5" s="1"/>
  <c r="G21" i="5"/>
  <c r="H21" i="5" s="1"/>
  <c r="F138" i="5"/>
  <c r="G138" i="5" s="1"/>
  <c r="H138" i="5" s="1"/>
  <c r="F128" i="5"/>
  <c r="G128" i="5" s="1"/>
  <c r="H128" i="5" s="1"/>
  <c r="F119" i="5"/>
  <c r="G119" i="5" s="1"/>
  <c r="H119" i="5" s="1"/>
  <c r="F110" i="5"/>
  <c r="G110" i="5" s="1"/>
  <c r="H110" i="5" s="1"/>
  <c r="F101" i="5"/>
  <c r="G101" i="5" s="1"/>
  <c r="H101" i="5" s="1"/>
  <c r="F92" i="5"/>
  <c r="G92" i="5" s="1"/>
  <c r="H92" i="5" s="1"/>
  <c r="F68" i="5"/>
  <c r="G68" i="5" s="1"/>
  <c r="H68" i="5" s="1"/>
  <c r="F59" i="5"/>
  <c r="G59" i="5" s="1"/>
  <c r="H59" i="5" s="1"/>
  <c r="F21" i="5"/>
  <c r="F10" i="5" l="1"/>
  <c r="G10" i="5" s="1"/>
  <c r="H10" i="5" s="1"/>
  <c r="R14" i="4"/>
  <c r="V14" i="4" s="1"/>
  <c r="L20" i="4"/>
  <c r="P20" i="4" s="1"/>
  <c r="T20" i="4" s="1"/>
  <c r="L18" i="4"/>
  <c r="P18" i="4" s="1"/>
  <c r="T18" i="4" s="1"/>
  <c r="N16" i="4"/>
  <c r="R16" i="4" s="1"/>
  <c r="V16" i="4" s="1"/>
  <c r="N14" i="4"/>
  <c r="L14" i="4"/>
  <c r="P14" i="4" s="1"/>
  <c r="T14" i="4" s="1"/>
  <c r="O12" i="4"/>
  <c r="S12" i="4" s="1"/>
  <c r="W12" i="4" s="1"/>
  <c r="N12" i="4"/>
  <c r="R12" i="4" s="1"/>
  <c r="V12" i="4" s="1"/>
  <c r="M12" i="4"/>
  <c r="Q12" i="4" s="1"/>
  <c r="U12" i="4" s="1"/>
  <c r="L12" i="4"/>
  <c r="P12" i="4" s="1"/>
  <c r="T12" i="4" s="1"/>
  <c r="O10" i="4"/>
  <c r="S10" i="4" s="1"/>
  <c r="W10" i="4" s="1"/>
  <c r="N8" i="4"/>
  <c r="R8" i="4" s="1"/>
  <c r="V8" i="4" s="1"/>
  <c r="L8" i="4"/>
  <c r="P8" i="4" s="1"/>
  <c r="T8" i="4" s="1"/>
  <c r="O6" i="4"/>
  <c r="S6" i="4" s="1"/>
  <c r="W6" i="4" s="1"/>
  <c r="N6" i="4"/>
  <c r="R6" i="4" s="1"/>
  <c r="V6" i="4" s="1"/>
  <c r="M6" i="4"/>
  <c r="Q6" i="4" s="1"/>
  <c r="U6" i="4" s="1"/>
  <c r="L6" i="4"/>
  <c r="P6" i="4" s="1"/>
  <c r="T6" i="4" s="1"/>
  <c r="V49" i="2" l="1"/>
  <c r="U49" i="2"/>
  <c r="T49" i="2"/>
  <c r="S49" i="2"/>
  <c r="R49" i="2"/>
  <c r="Q49" i="2"/>
  <c r="P49" i="2"/>
  <c r="O49" i="2"/>
  <c r="N49" i="2"/>
  <c r="M49" i="2"/>
  <c r="L49" i="2"/>
  <c r="K49" i="2"/>
  <c r="J49" i="2"/>
  <c r="I49" i="2"/>
  <c r="H49" i="2"/>
  <c r="G49" i="2"/>
  <c r="F49" i="2"/>
  <c r="E49" i="2"/>
  <c r="D49" i="2"/>
  <c r="V56" i="2"/>
  <c r="U56" i="2"/>
  <c r="T56" i="2"/>
  <c r="S56" i="2"/>
  <c r="R56" i="2"/>
  <c r="Q56" i="2"/>
  <c r="P56" i="2"/>
  <c r="O56" i="2"/>
  <c r="N56" i="2"/>
  <c r="M56" i="2"/>
  <c r="L56" i="2"/>
  <c r="K56" i="2"/>
  <c r="J56" i="2"/>
  <c r="I56" i="2"/>
  <c r="H56" i="2"/>
  <c r="G56" i="2"/>
  <c r="F56" i="2"/>
  <c r="E56" i="2"/>
  <c r="D56" i="2"/>
  <c r="V55" i="2"/>
  <c r="V16" i="2" s="1"/>
  <c r="U55" i="2"/>
  <c r="U16" i="2" s="1"/>
  <c r="T55" i="2"/>
  <c r="T16" i="2" s="1"/>
  <c r="S55" i="2"/>
  <c r="R55" i="2"/>
  <c r="Q55" i="2"/>
  <c r="P55" i="2"/>
  <c r="P16" i="2" s="1"/>
  <c r="O55" i="2"/>
  <c r="N55" i="2"/>
  <c r="N16" i="2" s="1"/>
  <c r="M55" i="2"/>
  <c r="L55" i="2"/>
  <c r="L16" i="2" s="1"/>
  <c r="K55" i="2"/>
  <c r="J55" i="2"/>
  <c r="I55" i="2"/>
  <c r="H55" i="2"/>
  <c r="G55" i="2"/>
  <c r="F55" i="2"/>
  <c r="E55" i="2"/>
  <c r="D55" i="2"/>
  <c r="C56" i="2"/>
  <c r="C55" i="2"/>
  <c r="V38" i="2"/>
  <c r="U38" i="2"/>
  <c r="T38" i="2"/>
  <c r="S38" i="2"/>
  <c r="R38" i="2"/>
  <c r="Q38" i="2"/>
  <c r="P38" i="2"/>
  <c r="O38" i="2"/>
  <c r="N38" i="2"/>
  <c r="M38" i="2"/>
  <c r="L38" i="2"/>
  <c r="K38" i="2"/>
  <c r="J38" i="2"/>
  <c r="I38" i="2"/>
  <c r="H38" i="2"/>
  <c r="G38" i="2"/>
  <c r="F38" i="2"/>
  <c r="E38" i="2"/>
  <c r="D38" i="2"/>
  <c r="V37" i="2"/>
  <c r="U37" i="2"/>
  <c r="T37" i="2"/>
  <c r="T10" i="2" s="1"/>
  <c r="S37" i="2"/>
  <c r="R37" i="2"/>
  <c r="Q37" i="2"/>
  <c r="P37" i="2"/>
  <c r="O37" i="2"/>
  <c r="N37" i="2"/>
  <c r="M37" i="2"/>
  <c r="L37" i="2"/>
  <c r="L10" i="2" s="1"/>
  <c r="K37" i="2"/>
  <c r="J37" i="2"/>
  <c r="I37" i="2"/>
  <c r="H37" i="2"/>
  <c r="G37" i="2"/>
  <c r="F37" i="2"/>
  <c r="E37" i="2"/>
  <c r="D37" i="2"/>
  <c r="C38" i="2"/>
  <c r="C37" i="2"/>
  <c r="D11" i="1"/>
  <c r="C11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V54" i="2"/>
  <c r="U54" i="2"/>
  <c r="T54" i="2"/>
  <c r="S54" i="2"/>
  <c r="R54" i="2"/>
  <c r="Q54" i="2"/>
  <c r="P54" i="2"/>
  <c r="O54" i="2"/>
  <c r="N54" i="2"/>
  <c r="M54" i="2"/>
  <c r="L54" i="2"/>
  <c r="K54" i="2"/>
  <c r="J54" i="2"/>
  <c r="I54" i="2"/>
  <c r="H54" i="2"/>
  <c r="G54" i="2"/>
  <c r="F54" i="2"/>
  <c r="E54" i="2"/>
  <c r="D54" i="2"/>
  <c r="C54" i="2"/>
  <c r="V47" i="2"/>
  <c r="U47" i="2"/>
  <c r="T47" i="2"/>
  <c r="S47" i="2"/>
  <c r="R47" i="2"/>
  <c r="Q47" i="2"/>
  <c r="P47" i="2"/>
  <c r="O47" i="2"/>
  <c r="N47" i="2"/>
  <c r="M47" i="2"/>
  <c r="L47" i="2"/>
  <c r="K47" i="2"/>
  <c r="J47" i="2"/>
  <c r="I47" i="2"/>
  <c r="H47" i="2"/>
  <c r="G47" i="2"/>
  <c r="F47" i="2"/>
  <c r="E47" i="2"/>
  <c r="D47" i="2"/>
  <c r="C47" i="2"/>
  <c r="V53" i="2"/>
  <c r="V23" i="2" s="1"/>
  <c r="U53" i="2"/>
  <c r="U23" i="2" s="1"/>
  <c r="T53" i="2"/>
  <c r="T23" i="2" s="1"/>
  <c r="S53" i="2"/>
  <c r="S23" i="2" s="1"/>
  <c r="R53" i="2"/>
  <c r="R23" i="2" s="1"/>
  <c r="Q53" i="2"/>
  <c r="Q23" i="2" s="1"/>
  <c r="P53" i="2"/>
  <c r="P23" i="2" s="1"/>
  <c r="O53" i="2"/>
  <c r="O23" i="2" s="1"/>
  <c r="N53" i="2"/>
  <c r="N23" i="2" s="1"/>
  <c r="M53" i="2"/>
  <c r="M23" i="2" s="1"/>
  <c r="L53" i="2"/>
  <c r="K53" i="2"/>
  <c r="K23" i="2" s="1"/>
  <c r="J53" i="2"/>
  <c r="J23" i="2" s="1"/>
  <c r="I53" i="2"/>
  <c r="H53" i="2"/>
  <c r="H23" i="2" s="1"/>
  <c r="G53" i="2"/>
  <c r="F53" i="2"/>
  <c r="F23" i="2" s="1"/>
  <c r="E53" i="2"/>
  <c r="E23" i="2" s="1"/>
  <c r="D53" i="2"/>
  <c r="C53" i="2"/>
  <c r="V52" i="2"/>
  <c r="U52" i="2"/>
  <c r="T52" i="2"/>
  <c r="S52" i="2"/>
  <c r="R52" i="2"/>
  <c r="Q52" i="2"/>
  <c r="P52" i="2"/>
  <c r="O52" i="2"/>
  <c r="N52" i="2"/>
  <c r="M52" i="2"/>
  <c r="L52" i="2"/>
  <c r="K52" i="2"/>
  <c r="J52" i="2"/>
  <c r="I52" i="2"/>
  <c r="H52" i="2"/>
  <c r="G52" i="2"/>
  <c r="F52" i="2"/>
  <c r="E52" i="2"/>
  <c r="D52" i="2"/>
  <c r="V51" i="2"/>
  <c r="U51" i="2"/>
  <c r="T51" i="2"/>
  <c r="S51" i="2"/>
  <c r="R51" i="2"/>
  <c r="Q51" i="2"/>
  <c r="P51" i="2"/>
  <c r="O51" i="2"/>
  <c r="N51" i="2"/>
  <c r="M51" i="2"/>
  <c r="L51" i="2"/>
  <c r="K51" i="2"/>
  <c r="J51" i="2"/>
  <c r="I51" i="2"/>
  <c r="H51" i="2"/>
  <c r="G51" i="2"/>
  <c r="F51" i="2"/>
  <c r="E51" i="2"/>
  <c r="D51" i="2"/>
  <c r="V50" i="2"/>
  <c r="U50" i="2"/>
  <c r="T50" i="2"/>
  <c r="S50" i="2"/>
  <c r="R50" i="2"/>
  <c r="Q50" i="2"/>
  <c r="P50" i="2"/>
  <c r="O50" i="2"/>
  <c r="N50" i="2"/>
  <c r="M50" i="2"/>
  <c r="L50" i="2"/>
  <c r="K50" i="2"/>
  <c r="J50" i="2"/>
  <c r="I50" i="2"/>
  <c r="H50" i="2"/>
  <c r="G50" i="2"/>
  <c r="F50" i="2"/>
  <c r="E50" i="2"/>
  <c r="D50" i="2"/>
  <c r="C52" i="2"/>
  <c r="C51" i="2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V63" i="1"/>
  <c r="V20" i="1" s="1"/>
  <c r="U63" i="1"/>
  <c r="U20" i="1" s="1"/>
  <c r="T63" i="1"/>
  <c r="T20" i="1" s="1"/>
  <c r="S63" i="1"/>
  <c r="S20" i="1" s="1"/>
  <c r="R63" i="1"/>
  <c r="R20" i="1" s="1"/>
  <c r="Q63" i="1"/>
  <c r="Q20" i="1" s="1"/>
  <c r="P63" i="1"/>
  <c r="P20" i="1" s="1"/>
  <c r="O63" i="1"/>
  <c r="O20" i="1" s="1"/>
  <c r="N63" i="1"/>
  <c r="N20" i="1" s="1"/>
  <c r="M63" i="1"/>
  <c r="M20" i="1" s="1"/>
  <c r="L63" i="1"/>
  <c r="L20" i="1" s="1"/>
  <c r="K63" i="1"/>
  <c r="K20" i="1" s="1"/>
  <c r="J63" i="1"/>
  <c r="J20" i="1" s="1"/>
  <c r="I63" i="1"/>
  <c r="I20" i="1" s="1"/>
  <c r="H63" i="1"/>
  <c r="H20" i="1" s="1"/>
  <c r="G63" i="1"/>
  <c r="G20" i="1" s="1"/>
  <c r="F63" i="1"/>
  <c r="F20" i="1" s="1"/>
  <c r="E63" i="1"/>
  <c r="E20" i="1" s="1"/>
  <c r="D63" i="1"/>
  <c r="D20" i="1" s="1"/>
  <c r="C63" i="1"/>
  <c r="C20" i="1" s="1"/>
  <c r="C49" i="2"/>
  <c r="C50" i="2"/>
  <c r="C23" i="3"/>
  <c r="V22" i="3"/>
  <c r="U22" i="3"/>
  <c r="T22" i="3"/>
  <c r="S22" i="3"/>
  <c r="R22" i="3"/>
  <c r="Q22" i="3"/>
  <c r="P22" i="3"/>
  <c r="O22" i="3"/>
  <c r="N22" i="3"/>
  <c r="M22" i="3"/>
  <c r="L22" i="3"/>
  <c r="K22" i="3"/>
  <c r="J22" i="3"/>
  <c r="I22" i="3"/>
  <c r="H22" i="3"/>
  <c r="G22" i="3"/>
  <c r="F22" i="3"/>
  <c r="E22" i="3"/>
  <c r="D22" i="3"/>
  <c r="V48" i="2"/>
  <c r="U48" i="2"/>
  <c r="T48" i="2"/>
  <c r="S48" i="2"/>
  <c r="R48" i="2"/>
  <c r="Q48" i="2"/>
  <c r="P48" i="2"/>
  <c r="O48" i="2"/>
  <c r="N48" i="2"/>
  <c r="M48" i="2"/>
  <c r="L48" i="2"/>
  <c r="K48" i="2"/>
  <c r="J48" i="2"/>
  <c r="I48" i="2"/>
  <c r="H48" i="2"/>
  <c r="G48" i="2"/>
  <c r="F48" i="2"/>
  <c r="E48" i="2"/>
  <c r="D48" i="2"/>
  <c r="C48" i="2"/>
  <c r="V35" i="2"/>
  <c r="U35" i="2"/>
  <c r="T35" i="2"/>
  <c r="S35" i="2"/>
  <c r="R35" i="2"/>
  <c r="Q35" i="2"/>
  <c r="P35" i="2"/>
  <c r="O35" i="2"/>
  <c r="N35" i="2"/>
  <c r="M35" i="2"/>
  <c r="L35" i="2"/>
  <c r="K35" i="2"/>
  <c r="J35" i="2"/>
  <c r="I35" i="2"/>
  <c r="H35" i="2"/>
  <c r="G35" i="2"/>
  <c r="F35" i="2"/>
  <c r="E35" i="2"/>
  <c r="D35" i="2"/>
  <c r="C35" i="2"/>
  <c r="G23" i="2" l="1"/>
  <c r="M16" i="2"/>
  <c r="E16" i="2"/>
  <c r="K16" i="2"/>
  <c r="H16" i="2"/>
  <c r="S16" i="2"/>
  <c r="K10" i="2"/>
  <c r="S10" i="2"/>
  <c r="O16" i="2"/>
  <c r="D16" i="2"/>
  <c r="D10" i="2"/>
  <c r="I23" i="2"/>
  <c r="I16" i="2"/>
  <c r="F16" i="2"/>
  <c r="J16" i="2"/>
  <c r="R16" i="2"/>
  <c r="Q16" i="2"/>
  <c r="J10" i="2"/>
  <c r="R10" i="2"/>
  <c r="H8" i="2"/>
  <c r="F8" i="2"/>
  <c r="N8" i="2"/>
  <c r="V8" i="2"/>
  <c r="J8" i="2"/>
  <c r="P8" i="2"/>
  <c r="L8" i="2"/>
  <c r="R8" i="2"/>
  <c r="T8" i="2"/>
  <c r="D23" i="2"/>
  <c r="G10" i="2"/>
  <c r="O10" i="2"/>
  <c r="H10" i="2"/>
  <c r="P10" i="2"/>
  <c r="L23" i="2"/>
  <c r="I10" i="2"/>
  <c r="Q10" i="2"/>
  <c r="G16" i="2"/>
  <c r="E10" i="2"/>
  <c r="M10" i="2"/>
  <c r="U10" i="2"/>
  <c r="F10" i="2"/>
  <c r="N10" i="2"/>
  <c r="V10" i="2"/>
  <c r="E8" i="2"/>
  <c r="G8" i="2"/>
  <c r="I8" i="2"/>
  <c r="K8" i="2"/>
  <c r="M8" i="2"/>
  <c r="O8" i="2"/>
  <c r="Q8" i="2"/>
  <c r="S8" i="2"/>
  <c r="U8" i="2"/>
  <c r="C10" i="2"/>
  <c r="C16" i="2"/>
  <c r="D8" i="2"/>
  <c r="C8" i="2"/>
  <c r="C23" i="2"/>
  <c r="V19" i="2" l="1"/>
  <c r="U19" i="2"/>
  <c r="T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V46" i="2"/>
  <c r="U46" i="2"/>
  <c r="T46" i="2"/>
  <c r="T31" i="2" s="1"/>
  <c r="S46" i="2"/>
  <c r="S31" i="2" s="1"/>
  <c r="R46" i="2"/>
  <c r="R31" i="2" s="1"/>
  <c r="Q46" i="2"/>
  <c r="P46" i="2"/>
  <c r="O46" i="2"/>
  <c r="N46" i="2"/>
  <c r="M46" i="2"/>
  <c r="L46" i="2"/>
  <c r="K46" i="2"/>
  <c r="K31" i="2" s="1"/>
  <c r="J46" i="2"/>
  <c r="J31" i="2" s="1"/>
  <c r="I46" i="2"/>
  <c r="I31" i="2" s="1"/>
  <c r="H46" i="2"/>
  <c r="H31" i="2" s="1"/>
  <c r="G46" i="2"/>
  <c r="F46" i="2"/>
  <c r="F31" i="2" s="1"/>
  <c r="E46" i="2"/>
  <c r="D46" i="2"/>
  <c r="V45" i="2"/>
  <c r="V26" i="2" s="1"/>
  <c r="U45" i="2"/>
  <c r="U26" i="2" s="1"/>
  <c r="T45" i="2"/>
  <c r="T26" i="2" s="1"/>
  <c r="S45" i="2"/>
  <c r="S26" i="2" s="1"/>
  <c r="R45" i="2"/>
  <c r="R26" i="2" s="1"/>
  <c r="Q45" i="2"/>
  <c r="P45" i="2"/>
  <c r="P26" i="2" s="1"/>
  <c r="O45" i="2"/>
  <c r="O26" i="2" s="1"/>
  <c r="N45" i="2"/>
  <c r="N26" i="2" s="1"/>
  <c r="M45" i="2"/>
  <c r="M26" i="2" s="1"/>
  <c r="L45" i="2"/>
  <c r="L26" i="2" s="1"/>
  <c r="K45" i="2"/>
  <c r="K26" i="2" s="1"/>
  <c r="J45" i="2"/>
  <c r="J26" i="2" s="1"/>
  <c r="I45" i="2"/>
  <c r="I26" i="2" s="1"/>
  <c r="H45" i="2"/>
  <c r="H26" i="2" s="1"/>
  <c r="G45" i="2"/>
  <c r="G26" i="2" s="1"/>
  <c r="F45" i="2"/>
  <c r="F26" i="2" s="1"/>
  <c r="E45" i="2"/>
  <c r="E26" i="2" s="1"/>
  <c r="D45" i="2"/>
  <c r="D26" i="2" s="1"/>
  <c r="V44" i="2"/>
  <c r="U44" i="2"/>
  <c r="T44" i="2"/>
  <c r="S44" i="2"/>
  <c r="R44" i="2"/>
  <c r="Q44" i="2"/>
  <c r="P44" i="2"/>
  <c r="O44" i="2"/>
  <c r="N44" i="2"/>
  <c r="M44" i="2"/>
  <c r="L44" i="2"/>
  <c r="K44" i="2"/>
  <c r="J44" i="2"/>
  <c r="I44" i="2"/>
  <c r="H44" i="2"/>
  <c r="H17" i="2" s="1"/>
  <c r="G44" i="2"/>
  <c r="F44" i="2"/>
  <c r="E44" i="2"/>
  <c r="D44" i="2"/>
  <c r="V43" i="2"/>
  <c r="U43" i="2"/>
  <c r="T43" i="2"/>
  <c r="S43" i="2"/>
  <c r="R43" i="2"/>
  <c r="Q43" i="2"/>
  <c r="P43" i="2"/>
  <c r="O43" i="2"/>
  <c r="N43" i="2"/>
  <c r="M43" i="2"/>
  <c r="L43" i="2"/>
  <c r="K43" i="2"/>
  <c r="J43" i="2"/>
  <c r="I43" i="2"/>
  <c r="H43" i="2"/>
  <c r="G43" i="2"/>
  <c r="F43" i="2"/>
  <c r="E43" i="2"/>
  <c r="D43" i="2"/>
  <c r="V42" i="2"/>
  <c r="V17" i="2" s="1"/>
  <c r="U42" i="2"/>
  <c r="T42" i="2"/>
  <c r="S42" i="2"/>
  <c r="R42" i="2"/>
  <c r="Q42" i="2"/>
  <c r="P42" i="2"/>
  <c r="O42" i="2"/>
  <c r="N42" i="2"/>
  <c r="M42" i="2"/>
  <c r="L42" i="2"/>
  <c r="K42" i="2"/>
  <c r="J42" i="2"/>
  <c r="I42" i="2"/>
  <c r="H42" i="2"/>
  <c r="G42" i="2"/>
  <c r="F42" i="2"/>
  <c r="E42" i="2"/>
  <c r="D42" i="2"/>
  <c r="V41" i="2"/>
  <c r="U41" i="2"/>
  <c r="T41" i="2"/>
  <c r="S41" i="2"/>
  <c r="R41" i="2"/>
  <c r="R17" i="2" s="1"/>
  <c r="Q41" i="2"/>
  <c r="Q17" i="2" s="1"/>
  <c r="P41" i="2"/>
  <c r="O41" i="2"/>
  <c r="N41" i="2"/>
  <c r="M41" i="2"/>
  <c r="L41" i="2"/>
  <c r="K41" i="2"/>
  <c r="J41" i="2"/>
  <c r="I41" i="2"/>
  <c r="H41" i="2"/>
  <c r="G41" i="2"/>
  <c r="F41" i="2"/>
  <c r="E41" i="2"/>
  <c r="D41" i="2"/>
  <c r="V40" i="2"/>
  <c r="U40" i="2"/>
  <c r="T40" i="2"/>
  <c r="S40" i="2"/>
  <c r="R40" i="2"/>
  <c r="Q40" i="2"/>
  <c r="P40" i="2"/>
  <c r="O40" i="2"/>
  <c r="N40" i="2"/>
  <c r="M40" i="2"/>
  <c r="L40" i="2"/>
  <c r="L17" i="2" s="1"/>
  <c r="K40" i="2"/>
  <c r="J40" i="2"/>
  <c r="I40" i="2"/>
  <c r="H40" i="2"/>
  <c r="G40" i="2"/>
  <c r="F40" i="2"/>
  <c r="E40" i="2"/>
  <c r="D40" i="2"/>
  <c r="V39" i="2"/>
  <c r="U39" i="2"/>
  <c r="T39" i="2"/>
  <c r="S39" i="2"/>
  <c r="R39" i="2"/>
  <c r="Q39" i="2"/>
  <c r="P39" i="2"/>
  <c r="O39" i="2"/>
  <c r="N39" i="2"/>
  <c r="M39" i="2"/>
  <c r="L39" i="2"/>
  <c r="K39" i="2"/>
  <c r="J39" i="2"/>
  <c r="I39" i="2"/>
  <c r="H39" i="2"/>
  <c r="G39" i="2"/>
  <c r="F39" i="2"/>
  <c r="E39" i="2"/>
  <c r="D39" i="2"/>
  <c r="V33" i="2"/>
  <c r="U33" i="2"/>
  <c r="T33" i="2"/>
  <c r="S33" i="2"/>
  <c r="R33" i="2"/>
  <c r="Q33" i="2"/>
  <c r="P33" i="2"/>
  <c r="O33" i="2"/>
  <c r="N33" i="2"/>
  <c r="M33" i="2"/>
  <c r="L33" i="2"/>
  <c r="K33" i="2"/>
  <c r="J33" i="2"/>
  <c r="I33" i="2"/>
  <c r="H33" i="2"/>
  <c r="G33" i="2"/>
  <c r="F33" i="2"/>
  <c r="E33" i="2"/>
  <c r="D33" i="2"/>
  <c r="V31" i="2"/>
  <c r="U31" i="2"/>
  <c r="Q31" i="2"/>
  <c r="P31" i="2"/>
  <c r="O31" i="2"/>
  <c r="N31" i="2"/>
  <c r="M31" i="2"/>
  <c r="L31" i="2"/>
  <c r="G31" i="2"/>
  <c r="E31" i="2"/>
  <c r="D31" i="2"/>
  <c r="V30" i="2"/>
  <c r="U30" i="2"/>
  <c r="T30" i="2"/>
  <c r="S30" i="2"/>
  <c r="R30" i="2"/>
  <c r="Q30" i="2"/>
  <c r="P30" i="2"/>
  <c r="O30" i="2"/>
  <c r="N30" i="2"/>
  <c r="M30" i="2"/>
  <c r="L30" i="2"/>
  <c r="K30" i="2"/>
  <c r="J30" i="2"/>
  <c r="I30" i="2"/>
  <c r="H30" i="2"/>
  <c r="G30" i="2"/>
  <c r="F30" i="2"/>
  <c r="E30" i="2"/>
  <c r="D30" i="2"/>
  <c r="Q26" i="2"/>
  <c r="V25" i="2"/>
  <c r="U25" i="2"/>
  <c r="T25" i="2"/>
  <c r="S25" i="2"/>
  <c r="R25" i="2"/>
  <c r="Q25" i="2"/>
  <c r="P25" i="2"/>
  <c r="O25" i="2"/>
  <c r="N25" i="2"/>
  <c r="M25" i="2"/>
  <c r="L25" i="2"/>
  <c r="K25" i="2"/>
  <c r="J25" i="2"/>
  <c r="I25" i="2"/>
  <c r="H25" i="2"/>
  <c r="G25" i="2"/>
  <c r="F25" i="2"/>
  <c r="E25" i="2"/>
  <c r="D25" i="2"/>
  <c r="C33" i="2"/>
  <c r="C30" i="2"/>
  <c r="C25" i="2"/>
  <c r="C19" i="2"/>
  <c r="C46" i="2"/>
  <c r="C31" i="2" s="1"/>
  <c r="C45" i="2"/>
  <c r="C26" i="2" s="1"/>
  <c r="C44" i="2"/>
  <c r="C43" i="2"/>
  <c r="C42" i="2"/>
  <c r="C41" i="2"/>
  <c r="C40" i="2"/>
  <c r="C39" i="2"/>
  <c r="V47" i="3"/>
  <c r="V12" i="3" s="1"/>
  <c r="U47" i="3"/>
  <c r="U12" i="3" s="1"/>
  <c r="T47" i="3"/>
  <c r="T12" i="3" s="1"/>
  <c r="S47" i="3"/>
  <c r="S12" i="3" s="1"/>
  <c r="R47" i="3"/>
  <c r="R12" i="3" s="1"/>
  <c r="Q47" i="3"/>
  <c r="Q12" i="3" s="1"/>
  <c r="P47" i="3"/>
  <c r="P12" i="3" s="1"/>
  <c r="O47" i="3"/>
  <c r="O12" i="3" s="1"/>
  <c r="N47" i="3"/>
  <c r="N12" i="3" s="1"/>
  <c r="M47" i="3"/>
  <c r="L47" i="3"/>
  <c r="L12" i="3" s="1"/>
  <c r="K47" i="3"/>
  <c r="K12" i="3" s="1"/>
  <c r="J47" i="3"/>
  <c r="J12" i="3" s="1"/>
  <c r="I47" i="3"/>
  <c r="H47" i="3"/>
  <c r="H12" i="3" s="1"/>
  <c r="G47" i="3"/>
  <c r="G12" i="3" s="1"/>
  <c r="F47" i="3"/>
  <c r="F12" i="3" s="1"/>
  <c r="E47" i="3"/>
  <c r="D47" i="3"/>
  <c r="D12" i="3" s="1"/>
  <c r="C47" i="3"/>
  <c r="V44" i="3"/>
  <c r="V13" i="3" s="1"/>
  <c r="U44" i="3"/>
  <c r="U13" i="3" s="1"/>
  <c r="T44" i="3"/>
  <c r="T13" i="3" s="1"/>
  <c r="S44" i="3"/>
  <c r="S13" i="3" s="1"/>
  <c r="R44" i="3"/>
  <c r="R13" i="3" s="1"/>
  <c r="Q44" i="3"/>
  <c r="Q13" i="3" s="1"/>
  <c r="P44" i="3"/>
  <c r="P13" i="3" s="1"/>
  <c r="O44" i="3"/>
  <c r="O13" i="3" s="1"/>
  <c r="N44" i="3"/>
  <c r="N13" i="3" s="1"/>
  <c r="M44" i="3"/>
  <c r="M13" i="3" s="1"/>
  <c r="L44" i="3"/>
  <c r="L13" i="3" s="1"/>
  <c r="K44" i="3"/>
  <c r="J44" i="3"/>
  <c r="I44" i="3"/>
  <c r="H44" i="3"/>
  <c r="G44" i="3"/>
  <c r="F44" i="3"/>
  <c r="E44" i="3"/>
  <c r="D44" i="3"/>
  <c r="C44" i="3"/>
  <c r="V62" i="1"/>
  <c r="V30" i="1" s="1"/>
  <c r="U62" i="1"/>
  <c r="U30" i="1" s="1"/>
  <c r="T62" i="1"/>
  <c r="T30" i="1" s="1"/>
  <c r="S62" i="1"/>
  <c r="S30" i="1" s="1"/>
  <c r="R62" i="1"/>
  <c r="R30" i="1" s="1"/>
  <c r="Q62" i="1"/>
  <c r="Q30" i="1" s="1"/>
  <c r="P62" i="1"/>
  <c r="P30" i="1" s="1"/>
  <c r="O62" i="1"/>
  <c r="O30" i="1" s="1"/>
  <c r="N62" i="1"/>
  <c r="N30" i="1" s="1"/>
  <c r="M62" i="1"/>
  <c r="M30" i="1" s="1"/>
  <c r="L62" i="1"/>
  <c r="L30" i="1" s="1"/>
  <c r="K62" i="1"/>
  <c r="K30" i="1" s="1"/>
  <c r="J62" i="1"/>
  <c r="J30" i="1" s="1"/>
  <c r="I62" i="1"/>
  <c r="I30" i="1" s="1"/>
  <c r="H62" i="1"/>
  <c r="H30" i="1" s="1"/>
  <c r="G62" i="1"/>
  <c r="G30" i="1" s="1"/>
  <c r="F62" i="1"/>
  <c r="F30" i="1" s="1"/>
  <c r="E62" i="1"/>
  <c r="E30" i="1" s="1"/>
  <c r="D62" i="1"/>
  <c r="D30" i="1" s="1"/>
  <c r="C62" i="1"/>
  <c r="C30" i="1" s="1"/>
  <c r="V61" i="1"/>
  <c r="V42" i="1" s="1"/>
  <c r="U61" i="1"/>
  <c r="U42" i="1" s="1"/>
  <c r="T61" i="1"/>
  <c r="T42" i="1" s="1"/>
  <c r="S61" i="1"/>
  <c r="S42" i="1" s="1"/>
  <c r="R61" i="1"/>
  <c r="R42" i="1" s="1"/>
  <c r="Q61" i="1"/>
  <c r="Q42" i="1" s="1"/>
  <c r="P61" i="1"/>
  <c r="P42" i="1" s="1"/>
  <c r="O61" i="1"/>
  <c r="O42" i="1" s="1"/>
  <c r="N61" i="1"/>
  <c r="N42" i="1" s="1"/>
  <c r="M61" i="1"/>
  <c r="M42" i="1" s="1"/>
  <c r="L61" i="1"/>
  <c r="L42" i="1" s="1"/>
  <c r="K61" i="1"/>
  <c r="K42" i="1" s="1"/>
  <c r="J61" i="1"/>
  <c r="J42" i="1" s="1"/>
  <c r="I61" i="1"/>
  <c r="I42" i="1" s="1"/>
  <c r="H61" i="1"/>
  <c r="H42" i="1" s="1"/>
  <c r="G61" i="1"/>
  <c r="G42" i="1" s="1"/>
  <c r="F61" i="1"/>
  <c r="F42" i="1" s="1"/>
  <c r="E61" i="1"/>
  <c r="E42" i="1" s="1"/>
  <c r="D61" i="1"/>
  <c r="D42" i="1" s="1"/>
  <c r="C61" i="1"/>
  <c r="C42" i="1" s="1"/>
  <c r="V60" i="1"/>
  <c r="V33" i="1" s="1"/>
  <c r="U60" i="1"/>
  <c r="U33" i="1" s="1"/>
  <c r="T60" i="1"/>
  <c r="T33" i="1" s="1"/>
  <c r="S60" i="1"/>
  <c r="S33" i="1" s="1"/>
  <c r="R60" i="1"/>
  <c r="R33" i="1" s="1"/>
  <c r="Q60" i="1"/>
  <c r="Q33" i="1" s="1"/>
  <c r="P60" i="1"/>
  <c r="P33" i="1" s="1"/>
  <c r="O60" i="1"/>
  <c r="O33" i="1" s="1"/>
  <c r="N60" i="1"/>
  <c r="N33" i="1" s="1"/>
  <c r="M60" i="1"/>
  <c r="M33" i="1" s="1"/>
  <c r="L60" i="1"/>
  <c r="L33" i="1" s="1"/>
  <c r="K60" i="1"/>
  <c r="K33" i="1" s="1"/>
  <c r="J60" i="1"/>
  <c r="J33" i="1" s="1"/>
  <c r="I60" i="1"/>
  <c r="I33" i="1" s="1"/>
  <c r="H60" i="1"/>
  <c r="H33" i="1" s="1"/>
  <c r="G60" i="1"/>
  <c r="G33" i="1" s="1"/>
  <c r="F60" i="1"/>
  <c r="F33" i="1" s="1"/>
  <c r="E60" i="1"/>
  <c r="E33" i="1" s="1"/>
  <c r="D60" i="1"/>
  <c r="D33" i="1" s="1"/>
  <c r="C60" i="1"/>
  <c r="C33" i="1" s="1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V58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V57" i="1"/>
  <c r="U57" i="1"/>
  <c r="T57" i="1"/>
  <c r="S57" i="1"/>
  <c r="R57" i="1"/>
  <c r="Q57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V56" i="1"/>
  <c r="U56" i="1"/>
  <c r="T56" i="1"/>
  <c r="S56" i="1"/>
  <c r="R56" i="1"/>
  <c r="Q56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9" i="1"/>
  <c r="C58" i="1"/>
  <c r="C57" i="1"/>
  <c r="C56" i="1"/>
  <c r="C55" i="1"/>
  <c r="C54" i="1"/>
  <c r="C53" i="1"/>
  <c r="C52" i="1"/>
  <c r="C51" i="1"/>
  <c r="C50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9" i="1"/>
  <c r="C48" i="1"/>
  <c r="C47" i="1"/>
  <c r="C46" i="1"/>
  <c r="C45" i="1"/>
  <c r="V8" i="1"/>
  <c r="U8" i="1"/>
  <c r="T8" i="1"/>
  <c r="S8" i="1"/>
  <c r="R8" i="1"/>
  <c r="Q8" i="1"/>
  <c r="P8" i="1"/>
  <c r="O8" i="1"/>
  <c r="N8" i="1"/>
  <c r="M8" i="1"/>
  <c r="L8" i="1"/>
  <c r="K8" i="1"/>
  <c r="J8" i="1"/>
  <c r="I8" i="1"/>
  <c r="H8" i="1"/>
  <c r="G8" i="1"/>
  <c r="F8" i="1"/>
  <c r="E8" i="1"/>
  <c r="D8" i="1"/>
  <c r="C8" i="1"/>
  <c r="V49" i="3"/>
  <c r="V48" i="3" s="1"/>
  <c r="U49" i="3"/>
  <c r="U48" i="3" s="1"/>
  <c r="T49" i="3"/>
  <c r="T48" i="3" s="1"/>
  <c r="S49" i="3"/>
  <c r="S48" i="3" s="1"/>
  <c r="R49" i="3"/>
  <c r="R48" i="3" s="1"/>
  <c r="Q49" i="3"/>
  <c r="Q48" i="3" s="1"/>
  <c r="P49" i="3"/>
  <c r="P48" i="3" s="1"/>
  <c r="O49" i="3"/>
  <c r="O48" i="3" s="1"/>
  <c r="N49" i="3"/>
  <c r="N48" i="3" s="1"/>
  <c r="M49" i="3"/>
  <c r="M48" i="3" s="1"/>
  <c r="L49" i="3"/>
  <c r="L48" i="3" s="1"/>
  <c r="K49" i="3"/>
  <c r="K48" i="3" s="1"/>
  <c r="J49" i="3"/>
  <c r="J48" i="3" s="1"/>
  <c r="I49" i="3"/>
  <c r="I48" i="3" s="1"/>
  <c r="H49" i="3"/>
  <c r="H48" i="3" s="1"/>
  <c r="G49" i="3"/>
  <c r="G48" i="3" s="1"/>
  <c r="F49" i="3"/>
  <c r="F48" i="3" s="1"/>
  <c r="E49" i="3"/>
  <c r="E48" i="3" s="1"/>
  <c r="D49" i="3"/>
  <c r="D48" i="3" s="1"/>
  <c r="D21" i="3" s="1"/>
  <c r="D23" i="3"/>
  <c r="C49" i="3"/>
  <c r="C48" i="3" s="1"/>
  <c r="V24" i="1"/>
  <c r="V26" i="1" s="1"/>
  <c r="U24" i="1"/>
  <c r="U26" i="1" s="1"/>
  <c r="T24" i="1"/>
  <c r="T26" i="1" s="1"/>
  <c r="S24" i="1"/>
  <c r="S26" i="1" s="1"/>
  <c r="R24" i="1"/>
  <c r="R26" i="1" s="1"/>
  <c r="Q24" i="1"/>
  <c r="Q26" i="1" s="1"/>
  <c r="P24" i="1"/>
  <c r="P26" i="1" s="1"/>
  <c r="O24" i="1"/>
  <c r="O26" i="1" s="1"/>
  <c r="N24" i="1"/>
  <c r="N26" i="1" s="1"/>
  <c r="M24" i="1"/>
  <c r="M26" i="1" s="1"/>
  <c r="L24" i="1"/>
  <c r="L26" i="1" s="1"/>
  <c r="K24" i="1"/>
  <c r="K26" i="1" s="1"/>
  <c r="J24" i="1"/>
  <c r="J26" i="1" s="1"/>
  <c r="I24" i="1"/>
  <c r="I26" i="1" s="1"/>
  <c r="H24" i="1"/>
  <c r="H26" i="1" s="1"/>
  <c r="G24" i="1"/>
  <c r="G26" i="1" s="1"/>
  <c r="F24" i="1"/>
  <c r="F26" i="1" s="1"/>
  <c r="E24" i="1"/>
  <c r="E26" i="1" s="1"/>
  <c r="D24" i="1"/>
  <c r="D26" i="1" s="1"/>
  <c r="C24" i="1"/>
  <c r="C26" i="1" s="1"/>
  <c r="V46" i="3"/>
  <c r="U46" i="3"/>
  <c r="T46" i="3"/>
  <c r="S46" i="3"/>
  <c r="R46" i="3"/>
  <c r="Q46" i="3"/>
  <c r="P46" i="3"/>
  <c r="O46" i="3"/>
  <c r="N46" i="3"/>
  <c r="M46" i="3"/>
  <c r="L46" i="3"/>
  <c r="K46" i="3"/>
  <c r="J46" i="3"/>
  <c r="I46" i="3"/>
  <c r="H46" i="3"/>
  <c r="G46" i="3"/>
  <c r="F46" i="3"/>
  <c r="E46" i="3"/>
  <c r="D46" i="3"/>
  <c r="V45" i="3"/>
  <c r="U45" i="3"/>
  <c r="T45" i="3"/>
  <c r="S45" i="3"/>
  <c r="R45" i="3"/>
  <c r="Q45" i="3"/>
  <c r="P45" i="3"/>
  <c r="O45" i="3"/>
  <c r="N45" i="3"/>
  <c r="M45" i="3"/>
  <c r="L45" i="3"/>
  <c r="K45" i="3"/>
  <c r="J45" i="3"/>
  <c r="I45" i="3"/>
  <c r="H45" i="3"/>
  <c r="G45" i="3"/>
  <c r="F45" i="3"/>
  <c r="E45" i="3"/>
  <c r="D45" i="3"/>
  <c r="C45" i="3"/>
  <c r="V43" i="3"/>
  <c r="U43" i="3"/>
  <c r="T43" i="3"/>
  <c r="S43" i="3"/>
  <c r="R43" i="3"/>
  <c r="Q43" i="3"/>
  <c r="P43" i="3"/>
  <c r="O43" i="3"/>
  <c r="N43" i="3"/>
  <c r="M43" i="3"/>
  <c r="L43" i="3"/>
  <c r="K43" i="3"/>
  <c r="J43" i="3"/>
  <c r="I43" i="3"/>
  <c r="H43" i="3"/>
  <c r="G43" i="3"/>
  <c r="F43" i="3"/>
  <c r="E43" i="3"/>
  <c r="D43" i="3"/>
  <c r="C43" i="3"/>
  <c r="V42" i="3"/>
  <c r="U42" i="3"/>
  <c r="T42" i="3"/>
  <c r="S42" i="3"/>
  <c r="R42" i="3"/>
  <c r="Q42" i="3"/>
  <c r="P42" i="3"/>
  <c r="O42" i="3"/>
  <c r="N42" i="3"/>
  <c r="M42" i="3"/>
  <c r="L42" i="3"/>
  <c r="K42" i="3"/>
  <c r="J42" i="3"/>
  <c r="I42" i="3"/>
  <c r="H42" i="3"/>
  <c r="G42" i="3"/>
  <c r="F42" i="3"/>
  <c r="E42" i="3"/>
  <c r="D42" i="3"/>
  <c r="C42" i="3"/>
  <c r="V41" i="3"/>
  <c r="V40" i="3" s="1"/>
  <c r="V10" i="3" s="1"/>
  <c r="U41" i="3"/>
  <c r="U40" i="3" s="1"/>
  <c r="U10" i="3" s="1"/>
  <c r="T41" i="3"/>
  <c r="T40" i="3" s="1"/>
  <c r="T10" i="3" s="1"/>
  <c r="S41" i="3"/>
  <c r="S40" i="3" s="1"/>
  <c r="S10" i="3" s="1"/>
  <c r="R41" i="3"/>
  <c r="R40" i="3" s="1"/>
  <c r="R10" i="3" s="1"/>
  <c r="Q41" i="3"/>
  <c r="Q40" i="3" s="1"/>
  <c r="Q10" i="3" s="1"/>
  <c r="P41" i="3"/>
  <c r="P40" i="3" s="1"/>
  <c r="P10" i="3" s="1"/>
  <c r="O41" i="3"/>
  <c r="O40" i="3" s="1"/>
  <c r="O10" i="3" s="1"/>
  <c r="N41" i="3"/>
  <c r="N40" i="3" s="1"/>
  <c r="N10" i="3" s="1"/>
  <c r="M41" i="3"/>
  <c r="M40" i="3" s="1"/>
  <c r="M10" i="3" s="1"/>
  <c r="L41" i="3"/>
  <c r="L40" i="3" s="1"/>
  <c r="L10" i="3" s="1"/>
  <c r="K41" i="3"/>
  <c r="K40" i="3" s="1"/>
  <c r="K10" i="3" s="1"/>
  <c r="J41" i="3"/>
  <c r="J40" i="3" s="1"/>
  <c r="J10" i="3" s="1"/>
  <c r="I41" i="3"/>
  <c r="I40" i="3" s="1"/>
  <c r="I10" i="3" s="1"/>
  <c r="H41" i="3"/>
  <c r="H40" i="3" s="1"/>
  <c r="H10" i="3" s="1"/>
  <c r="G41" i="3"/>
  <c r="G40" i="3" s="1"/>
  <c r="G10" i="3" s="1"/>
  <c r="F41" i="3"/>
  <c r="F40" i="3" s="1"/>
  <c r="F10" i="3" s="1"/>
  <c r="E41" i="3"/>
  <c r="E40" i="3" s="1"/>
  <c r="E10" i="3" s="1"/>
  <c r="D41" i="3"/>
  <c r="D40" i="3" s="1"/>
  <c r="D10" i="3" s="1"/>
  <c r="C41" i="3"/>
  <c r="C40" i="3" s="1"/>
  <c r="C10" i="3" s="1"/>
  <c r="V39" i="3"/>
  <c r="V9" i="3" s="1"/>
  <c r="U39" i="3"/>
  <c r="U9" i="3" s="1"/>
  <c r="T39" i="3"/>
  <c r="T9" i="3" s="1"/>
  <c r="S39" i="3"/>
  <c r="S9" i="3" s="1"/>
  <c r="R39" i="3"/>
  <c r="R9" i="3" s="1"/>
  <c r="Q39" i="3"/>
  <c r="Q9" i="3" s="1"/>
  <c r="P39" i="3"/>
  <c r="P9" i="3" s="1"/>
  <c r="O39" i="3"/>
  <c r="O9" i="3" s="1"/>
  <c r="C38" i="3"/>
  <c r="C37" i="3"/>
  <c r="C36" i="3"/>
  <c r="C32" i="3"/>
  <c r="V15" i="3"/>
  <c r="U15" i="3"/>
  <c r="T15" i="3"/>
  <c r="S15" i="3"/>
  <c r="R15" i="3"/>
  <c r="Q15" i="3"/>
  <c r="P15" i="3"/>
  <c r="O15" i="3"/>
  <c r="N15" i="3"/>
  <c r="M15" i="3"/>
  <c r="L15" i="3"/>
  <c r="K15" i="3"/>
  <c r="J15" i="3"/>
  <c r="I15" i="3"/>
  <c r="H15" i="3"/>
  <c r="G15" i="3"/>
  <c r="F15" i="3"/>
  <c r="E15" i="3"/>
  <c r="D15" i="3"/>
  <c r="C15" i="3"/>
  <c r="V14" i="3"/>
  <c r="U14" i="3"/>
  <c r="T14" i="3"/>
  <c r="S14" i="3"/>
  <c r="R14" i="3"/>
  <c r="Q14" i="3"/>
  <c r="P14" i="3"/>
  <c r="O14" i="3"/>
  <c r="N14" i="3"/>
  <c r="M14" i="3"/>
  <c r="L14" i="3"/>
  <c r="K14" i="3"/>
  <c r="J14" i="3"/>
  <c r="I14" i="3"/>
  <c r="H14" i="3"/>
  <c r="G14" i="3"/>
  <c r="F14" i="3"/>
  <c r="E14" i="3"/>
  <c r="D14" i="3"/>
  <c r="C14" i="3"/>
  <c r="C46" i="3"/>
  <c r="V20" i="3"/>
  <c r="U20" i="3"/>
  <c r="T20" i="3"/>
  <c r="S20" i="3"/>
  <c r="R20" i="3"/>
  <c r="Q20" i="3"/>
  <c r="P20" i="3"/>
  <c r="O20" i="3"/>
  <c r="N20" i="3"/>
  <c r="M20" i="3"/>
  <c r="L20" i="3"/>
  <c r="K20" i="3"/>
  <c r="J20" i="3"/>
  <c r="I20" i="3"/>
  <c r="H20" i="3"/>
  <c r="G20" i="3"/>
  <c r="F20" i="3"/>
  <c r="E20" i="3"/>
  <c r="D20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G11" i="3"/>
  <c r="F11" i="3"/>
  <c r="E11" i="3"/>
  <c r="D11" i="3"/>
  <c r="C22" i="3"/>
  <c r="C20" i="3"/>
  <c r="I17" i="2" l="1"/>
  <c r="N17" i="2"/>
  <c r="S17" i="2"/>
  <c r="O17" i="2"/>
  <c r="U17" i="2"/>
  <c r="T17" i="2"/>
  <c r="F17" i="2"/>
  <c r="K17" i="2"/>
  <c r="P17" i="2"/>
  <c r="G17" i="2"/>
  <c r="I12" i="3"/>
  <c r="I39" i="3"/>
  <c r="I9" i="3" s="1"/>
  <c r="E17" i="2"/>
  <c r="M17" i="2"/>
  <c r="J17" i="2"/>
  <c r="J13" i="3"/>
  <c r="I13" i="3"/>
  <c r="H13" i="3"/>
  <c r="F13" i="3"/>
  <c r="G13" i="3"/>
  <c r="J39" i="3"/>
  <c r="J9" i="3" s="1"/>
  <c r="L39" i="3"/>
  <c r="L9" i="3" s="1"/>
  <c r="G39" i="3"/>
  <c r="G9" i="3" s="1"/>
  <c r="N39" i="3"/>
  <c r="N9" i="3" s="1"/>
  <c r="H39" i="3"/>
  <c r="H9" i="3" s="1"/>
  <c r="D39" i="3"/>
  <c r="D9" i="3" s="1"/>
  <c r="E39" i="3"/>
  <c r="E9" i="3" s="1"/>
  <c r="H39" i="1"/>
  <c r="P39" i="1"/>
  <c r="J39" i="1"/>
  <c r="R39" i="1"/>
  <c r="D39" i="1"/>
  <c r="T39" i="1"/>
  <c r="F39" i="1"/>
  <c r="N39" i="1"/>
  <c r="V39" i="1"/>
  <c r="E13" i="3"/>
  <c r="D13" i="3"/>
  <c r="C13" i="3"/>
  <c r="C12" i="3"/>
  <c r="D17" i="2"/>
  <c r="M12" i="3"/>
  <c r="M39" i="3"/>
  <c r="M9" i="3" s="1"/>
  <c r="C39" i="1"/>
  <c r="E39" i="1"/>
  <c r="G39" i="1"/>
  <c r="I39" i="1"/>
  <c r="K39" i="1"/>
  <c r="M39" i="1"/>
  <c r="O39" i="1"/>
  <c r="Q39" i="1"/>
  <c r="S39" i="1"/>
  <c r="U39" i="1"/>
  <c r="K13" i="3"/>
  <c r="L39" i="1"/>
  <c r="K39" i="3"/>
  <c r="K9" i="3" s="1"/>
  <c r="H17" i="1"/>
  <c r="J17" i="1"/>
  <c r="L17" i="1"/>
  <c r="N17" i="1"/>
  <c r="P17" i="1"/>
  <c r="R17" i="1"/>
  <c r="T17" i="1"/>
  <c r="V17" i="1"/>
  <c r="F39" i="3"/>
  <c r="F9" i="3" s="1"/>
  <c r="E21" i="3"/>
  <c r="E23" i="3"/>
  <c r="M21" i="3"/>
  <c r="M23" i="3"/>
  <c r="U21" i="3"/>
  <c r="U23" i="3"/>
  <c r="G21" i="3"/>
  <c r="G23" i="3"/>
  <c r="K21" i="3"/>
  <c r="K23" i="3"/>
  <c r="O21" i="3"/>
  <c r="O23" i="3"/>
  <c r="S21" i="3"/>
  <c r="S23" i="3"/>
  <c r="I21" i="3"/>
  <c r="I23" i="3"/>
  <c r="Q21" i="3"/>
  <c r="Q23" i="3"/>
  <c r="F21" i="3"/>
  <c r="F23" i="3"/>
  <c r="H21" i="3"/>
  <c r="H23" i="3"/>
  <c r="J21" i="3"/>
  <c r="J23" i="3"/>
  <c r="L21" i="3"/>
  <c r="L23" i="3"/>
  <c r="N21" i="3"/>
  <c r="N23" i="3"/>
  <c r="P21" i="3"/>
  <c r="P23" i="3"/>
  <c r="R21" i="3"/>
  <c r="R23" i="3"/>
  <c r="T21" i="3"/>
  <c r="T23" i="3"/>
  <c r="V21" i="3"/>
  <c r="V23" i="3"/>
  <c r="C17" i="2"/>
  <c r="E12" i="3"/>
  <c r="E17" i="1"/>
  <c r="G17" i="1"/>
  <c r="I17" i="1"/>
  <c r="K17" i="1"/>
  <c r="M17" i="1"/>
  <c r="O17" i="1"/>
  <c r="Q17" i="1"/>
  <c r="S17" i="1"/>
  <c r="C17" i="1"/>
  <c r="U17" i="1"/>
  <c r="D17" i="1"/>
  <c r="F17" i="1"/>
  <c r="C39" i="3"/>
  <c r="C9" i="3" s="1"/>
  <c r="D25" i="3"/>
  <c r="C11" i="3"/>
  <c r="R25" i="3" l="1"/>
  <c r="V25" i="3"/>
  <c r="T25" i="3"/>
  <c r="P25" i="3"/>
  <c r="N25" i="3"/>
  <c r="J25" i="3"/>
  <c r="H25" i="3"/>
  <c r="Q25" i="3"/>
  <c r="I25" i="3"/>
  <c r="S25" i="3"/>
  <c r="O25" i="3"/>
  <c r="K25" i="3"/>
  <c r="G25" i="3"/>
  <c r="U25" i="3"/>
  <c r="M25" i="3"/>
  <c r="E25" i="3"/>
  <c r="L25" i="3"/>
  <c r="F25" i="3"/>
  <c r="X26" i="1"/>
  <c r="X25" i="1"/>
  <c r="V21" i="1"/>
  <c r="V23" i="1" s="1"/>
  <c r="U21" i="1"/>
  <c r="U23" i="1" s="1"/>
  <c r="T21" i="1"/>
  <c r="T23" i="1" s="1"/>
  <c r="S21" i="1"/>
  <c r="S23" i="1" s="1"/>
  <c r="R21" i="1"/>
  <c r="R23" i="1" s="1"/>
  <c r="Q21" i="1"/>
  <c r="Q23" i="1" s="1"/>
  <c r="P21" i="1"/>
  <c r="P23" i="1" s="1"/>
  <c r="O21" i="1"/>
  <c r="O23" i="1" s="1"/>
  <c r="N21" i="1"/>
  <c r="N23" i="1" s="1"/>
  <c r="M21" i="1"/>
  <c r="M23" i="1" s="1"/>
  <c r="L21" i="1"/>
  <c r="L23" i="1" s="1"/>
  <c r="K21" i="1"/>
  <c r="K23" i="1" s="1"/>
  <c r="J21" i="1"/>
  <c r="J23" i="1" s="1"/>
  <c r="I21" i="1"/>
  <c r="I23" i="1" s="1"/>
  <c r="H21" i="1"/>
  <c r="H23" i="1" s="1"/>
  <c r="G21" i="1"/>
  <c r="G23" i="1" s="1"/>
  <c r="F21" i="1"/>
  <c r="F23" i="1" s="1"/>
  <c r="E21" i="1"/>
  <c r="E23" i="1" s="1"/>
  <c r="D21" i="1"/>
  <c r="D23" i="1" s="1"/>
  <c r="C21" i="1"/>
  <c r="C23" i="1" s="1"/>
  <c r="C21" i="3"/>
  <c r="C25" i="3" s="1"/>
  <c r="C17" i="3" l="1"/>
  <c r="C27" i="3" s="1"/>
  <c r="V17" i="3"/>
  <c r="V27" i="3" s="1"/>
  <c r="T17" i="3"/>
  <c r="T27" i="3" s="1"/>
  <c r="R17" i="3"/>
  <c r="R27" i="3" s="1"/>
  <c r="P17" i="3"/>
  <c r="P27" i="3" s="1"/>
  <c r="N17" i="3"/>
  <c r="N27" i="3" s="1"/>
  <c r="L17" i="3"/>
  <c r="L27" i="3" s="1"/>
  <c r="J17" i="3"/>
  <c r="J27" i="3" s="1"/>
  <c r="H17" i="3"/>
  <c r="H27" i="3" s="1"/>
  <c r="F17" i="3"/>
  <c r="F27" i="3" s="1"/>
  <c r="D17" i="3"/>
  <c r="D27" i="3" s="1"/>
  <c r="U17" i="3"/>
  <c r="U27" i="3" s="1"/>
  <c r="S17" i="3"/>
  <c r="S27" i="3" s="1"/>
  <c r="Q17" i="3"/>
  <c r="Q27" i="3" s="1"/>
  <c r="O17" i="3"/>
  <c r="O27" i="3" s="1"/>
  <c r="M17" i="3"/>
  <c r="M27" i="3" s="1"/>
  <c r="K17" i="3"/>
  <c r="K27" i="3" s="1"/>
  <c r="I17" i="3"/>
  <c r="I27" i="3" s="1"/>
  <c r="G17" i="3"/>
  <c r="G27" i="3" s="1"/>
  <c r="E17" i="3"/>
  <c r="E27" i="3" s="1"/>
  <c r="C29" i="3" l="1"/>
</calcChain>
</file>

<file path=xl/sharedStrings.xml><?xml version="1.0" encoding="utf-8"?>
<sst xmlns="http://schemas.openxmlformats.org/spreadsheetml/2006/main" count="449" uniqueCount="264">
  <si>
    <r>
      <t>Frame</t>
    </r>
    <r>
      <rPr>
        <sz val="8"/>
        <color theme="0"/>
        <rFont val="Calibri"/>
        <family val="2"/>
        <scheme val="minor"/>
      </rPr>
      <t>_</t>
    </r>
    <r>
      <rPr>
        <sz val="8"/>
        <color theme="1"/>
        <rFont val="Calibri"/>
        <family val="2"/>
        <scheme val="minor"/>
      </rPr>
      <t>R1</t>
    </r>
  </si>
  <si>
    <r>
      <t>Frame</t>
    </r>
    <r>
      <rPr>
        <sz val="8"/>
        <color theme="0"/>
        <rFont val="Calibri"/>
        <family val="2"/>
        <scheme val="minor"/>
      </rPr>
      <t>_</t>
    </r>
    <r>
      <rPr>
        <sz val="8"/>
        <color theme="1"/>
        <rFont val="Calibri"/>
        <family val="2"/>
        <scheme val="minor"/>
      </rPr>
      <t>R4</t>
    </r>
  </si>
  <si>
    <r>
      <t>Frame</t>
    </r>
    <r>
      <rPr>
        <sz val="8"/>
        <color theme="0"/>
        <rFont val="Calibri"/>
        <family val="2"/>
        <scheme val="minor"/>
      </rPr>
      <t>_</t>
    </r>
    <r>
      <rPr>
        <sz val="8"/>
        <color theme="1"/>
        <rFont val="Calibri"/>
        <family val="2"/>
        <scheme val="minor"/>
      </rPr>
      <t>R10</t>
    </r>
  </si>
  <si>
    <r>
      <t>Frame</t>
    </r>
    <r>
      <rPr>
        <sz val="8"/>
        <color theme="0"/>
        <rFont val="Calibri"/>
        <family val="2"/>
        <scheme val="minor"/>
      </rPr>
      <t>_</t>
    </r>
    <r>
      <rPr>
        <sz val="8"/>
        <color theme="1"/>
        <rFont val="Calibri"/>
        <family val="2"/>
        <scheme val="minor"/>
      </rPr>
      <t>R11</t>
    </r>
  </si>
  <si>
    <r>
      <t>Frame</t>
    </r>
    <r>
      <rPr>
        <sz val="8"/>
        <color theme="0"/>
        <rFont val="Calibri"/>
        <family val="2"/>
        <scheme val="minor"/>
      </rPr>
      <t>_</t>
    </r>
    <r>
      <rPr>
        <sz val="8"/>
        <color theme="1"/>
        <rFont val="Calibri"/>
        <family val="2"/>
        <scheme val="minor"/>
      </rPr>
      <t>R13</t>
    </r>
  </si>
  <si>
    <r>
      <t>Frame</t>
    </r>
    <r>
      <rPr>
        <sz val="8"/>
        <color theme="0"/>
        <rFont val="Calibri"/>
        <family val="2"/>
        <scheme val="minor"/>
      </rPr>
      <t>_</t>
    </r>
    <r>
      <rPr>
        <sz val="8"/>
        <color theme="1"/>
        <rFont val="Calibri"/>
        <family val="2"/>
        <scheme val="minor"/>
      </rPr>
      <t>R15</t>
    </r>
  </si>
  <si>
    <t>FRONT NUMBER</t>
  </si>
  <si>
    <t>A1 Silver</t>
  </si>
  <si>
    <t>A8 Inox</t>
  </si>
  <si>
    <t>mm</t>
  </si>
  <si>
    <t>P10 Gloss Black</t>
  </si>
  <si>
    <t>Cross pieces required?</t>
  </si>
  <si>
    <t>Number of cross pieces</t>
  </si>
  <si>
    <t>Yes</t>
  </si>
  <si>
    <t>No</t>
  </si>
  <si>
    <t>Front_Mounted</t>
  </si>
  <si>
    <t>Side Mounted</t>
  </si>
  <si>
    <t>None</t>
  </si>
  <si>
    <t>N/A</t>
  </si>
  <si>
    <t>Left</t>
  </si>
  <si>
    <t>Frame profile</t>
  </si>
  <si>
    <t>Right</t>
  </si>
  <si>
    <t>Frame colour</t>
  </si>
  <si>
    <t>Screw covers required?</t>
  </si>
  <si>
    <t>Clear_Glass</t>
  </si>
  <si>
    <t>Satinato_Glass</t>
  </si>
  <si>
    <t>Lakomat_Glass</t>
  </si>
  <si>
    <t>Planibel_Light_Tint_Glass</t>
  </si>
  <si>
    <t>Planibel_Dark_Tint_Glass</t>
  </si>
  <si>
    <t>Mirror_Glass</t>
  </si>
  <si>
    <t>Lacobel_Classics</t>
  </si>
  <si>
    <t>Lacobel_Trendies</t>
  </si>
  <si>
    <t>Lacobel_Exclusives</t>
  </si>
  <si>
    <t>Matelac_Classics</t>
  </si>
  <si>
    <t>Matelac_Trendies</t>
  </si>
  <si>
    <t>Matelac_Exclusives</t>
  </si>
  <si>
    <t>Smooth_Concrete</t>
  </si>
  <si>
    <t>Grey</t>
  </si>
  <si>
    <t>Silver</t>
  </si>
  <si>
    <t>White Soft (9010)</t>
  </si>
  <si>
    <t>White Pure (9003)</t>
  </si>
  <si>
    <t>Grey Metal (9006)</t>
  </si>
  <si>
    <t>White (4mm)</t>
  </si>
  <si>
    <t>White (6mm)</t>
  </si>
  <si>
    <t>Bronze</t>
  </si>
  <si>
    <t>Black Classic (9005)</t>
  </si>
  <si>
    <t>White Pearl (1013)</t>
  </si>
  <si>
    <t>Taupe Metal (0627)</t>
  </si>
  <si>
    <t>Light Grey (4mm)</t>
  </si>
  <si>
    <t>Light Grey (6mm)</t>
  </si>
  <si>
    <t>Colour/Finish</t>
  </si>
  <si>
    <t>Red Luminous (1586)</t>
  </si>
  <si>
    <t>Beige Light (1015)</t>
  </si>
  <si>
    <t>Aluminium Rich (9007)</t>
  </si>
  <si>
    <t>Silver Clear</t>
  </si>
  <si>
    <t>Beige Warm (1015)</t>
  </si>
  <si>
    <t>Silver Grey</t>
  </si>
  <si>
    <t>Grey (4mm)</t>
  </si>
  <si>
    <t>Grey (6mm)</t>
  </si>
  <si>
    <t xml:space="preserve"> Grey Classic (7035)</t>
  </si>
  <si>
    <t>Copper Metal (9115)</t>
  </si>
  <si>
    <t>Silver Bronze</t>
  </si>
  <si>
    <t>Anthracite (4mm)</t>
  </si>
  <si>
    <t>Anthracite (6mm)</t>
  </si>
  <si>
    <t>Brown Light (1236)</t>
  </si>
  <si>
    <t>Brown Starlight (9015)</t>
  </si>
  <si>
    <t>Silver Clearvision</t>
  </si>
  <si>
    <t>Black (4mm)</t>
  </si>
  <si>
    <t>Black (6mm)</t>
  </si>
  <si>
    <t>Brown Natural (7013)</t>
  </si>
  <si>
    <t>Brown Walnut (8915)</t>
  </si>
  <si>
    <t>Rust (4mm)</t>
  </si>
  <si>
    <t>Rust (6mm)</t>
  </si>
  <si>
    <t>Anthracite Authentic (7016)</t>
  </si>
  <si>
    <t>Toughened glass</t>
  </si>
  <si>
    <t>Blue Shadow (7000)</t>
  </si>
  <si>
    <t>Green Soft (8615)</t>
  </si>
  <si>
    <t>Green Sage (8715)</t>
  </si>
  <si>
    <t>Hinge Type</t>
  </si>
  <si>
    <t>Red Teracotta (8815)</t>
  </si>
  <si>
    <t>Hinge Side (viewed from front)</t>
  </si>
  <si>
    <t>Metallic Grey (9006)</t>
  </si>
  <si>
    <t>Hinge Manufacturer</t>
  </si>
  <si>
    <t>Hinge Part Number</t>
  </si>
  <si>
    <t>Front Insert material</t>
  </si>
  <si>
    <t>Handle Colour</t>
  </si>
  <si>
    <t>OWN HANDLES - FRONT FIXED</t>
  </si>
  <si>
    <t>Handle Side (viewed from front)</t>
  </si>
  <si>
    <t>Number of mounting holes required</t>
  </si>
  <si>
    <t>GRASSHOPPER HANDLES - EDGE FIXED</t>
  </si>
  <si>
    <r>
      <t xml:space="preserve">Mounting Hole 1 - </t>
    </r>
    <r>
      <rPr>
        <sz val="8"/>
        <color theme="1"/>
        <rFont val="Calibri"/>
        <family val="2"/>
        <scheme val="minor"/>
      </rPr>
      <t>Top to centre line</t>
    </r>
  </si>
  <si>
    <r>
      <t xml:space="preserve">Mounting Hole 2 - </t>
    </r>
    <r>
      <rPr>
        <sz val="8"/>
        <color theme="1"/>
        <rFont val="Calibri"/>
        <family val="2"/>
        <scheme val="minor"/>
      </rPr>
      <t>Top to centre line</t>
    </r>
  </si>
  <si>
    <r>
      <t xml:space="preserve">Mounting Hole 3 - </t>
    </r>
    <r>
      <rPr>
        <sz val="8"/>
        <color theme="1"/>
        <rFont val="Calibri"/>
        <family val="2"/>
        <scheme val="minor"/>
      </rPr>
      <t>Top to centre line</t>
    </r>
  </si>
  <si>
    <r>
      <t xml:space="preserve">Mounting Hole 4 - </t>
    </r>
    <r>
      <rPr>
        <sz val="8"/>
        <color theme="1"/>
        <rFont val="Calibri"/>
        <family val="2"/>
        <scheme val="minor"/>
      </rPr>
      <t>Top to centre line</t>
    </r>
  </si>
  <si>
    <r>
      <t xml:space="preserve">Mounting Hole position - </t>
    </r>
    <r>
      <rPr>
        <sz val="8"/>
        <color theme="1"/>
        <rFont val="Calibri"/>
        <family val="2"/>
        <scheme val="minor"/>
      </rPr>
      <t>Edge to centre line</t>
    </r>
  </si>
  <si>
    <t>Hinge Angle</t>
  </si>
  <si>
    <t>Other</t>
  </si>
  <si>
    <t>Inset</t>
  </si>
  <si>
    <t>Full_Overlay</t>
  </si>
  <si>
    <t>Half_Overlay</t>
  </si>
  <si>
    <r>
      <t>95</t>
    </r>
    <r>
      <rPr>
        <sz val="8"/>
        <color theme="1"/>
        <rFont val="Calibri"/>
        <family val="2"/>
      </rPr>
      <t>°</t>
    </r>
  </si>
  <si>
    <r>
      <t>105</t>
    </r>
    <r>
      <rPr>
        <sz val="8"/>
        <color theme="1"/>
        <rFont val="Calibri"/>
        <family val="2"/>
      </rPr>
      <t>°</t>
    </r>
  </si>
  <si>
    <r>
      <t>110</t>
    </r>
    <r>
      <rPr>
        <sz val="8"/>
        <color theme="1"/>
        <rFont val="Calibri"/>
        <family val="2"/>
      </rPr>
      <t>°</t>
    </r>
  </si>
  <si>
    <r>
      <t>165</t>
    </r>
    <r>
      <rPr>
        <sz val="8"/>
        <color theme="1"/>
        <rFont val="Calibri"/>
        <family val="2"/>
      </rPr>
      <t>°</t>
    </r>
  </si>
  <si>
    <r>
      <t>30</t>
    </r>
    <r>
      <rPr>
        <sz val="8"/>
        <color theme="1"/>
        <rFont val="Calibri"/>
        <family val="2"/>
      </rPr>
      <t>°</t>
    </r>
  </si>
  <si>
    <r>
      <t>45</t>
    </r>
    <r>
      <rPr>
        <sz val="8"/>
        <color theme="1"/>
        <rFont val="Calibri"/>
        <family val="2"/>
      </rPr>
      <t>°</t>
    </r>
  </si>
  <si>
    <r>
      <t>90</t>
    </r>
    <r>
      <rPr>
        <sz val="8"/>
        <color theme="1"/>
        <rFont val="Calibri"/>
        <family val="2"/>
      </rPr>
      <t>°</t>
    </r>
  </si>
  <si>
    <t>Handle Profile</t>
  </si>
  <si>
    <t>Profile_LU9</t>
  </si>
  <si>
    <t>Profile_LU11</t>
  </si>
  <si>
    <t>Profile_LU15</t>
  </si>
  <si>
    <t>Full length profile?</t>
  </si>
  <si>
    <t>Milled Handle Section?</t>
  </si>
  <si>
    <t>Milled Handle Length</t>
  </si>
  <si>
    <r>
      <t xml:space="preserve">Milled Handle Location - </t>
    </r>
    <r>
      <rPr>
        <sz val="8"/>
        <color theme="1"/>
        <rFont val="Calibri"/>
        <family val="2"/>
        <scheme val="minor"/>
      </rPr>
      <t xml:space="preserve">Top to Handle Top </t>
    </r>
  </si>
  <si>
    <t>Cut Handle Section?</t>
  </si>
  <si>
    <t>Cut Handle Length</t>
  </si>
  <si>
    <t>Frame</t>
  </si>
  <si>
    <t>Insert</t>
  </si>
  <si>
    <t xml:space="preserve">Safety film backing </t>
  </si>
  <si>
    <t>Screw covers</t>
  </si>
  <si>
    <t>Hinge locations</t>
  </si>
  <si>
    <t>FRONTS</t>
  </si>
  <si>
    <t>HANDLES</t>
  </si>
  <si>
    <t>Full length profile</t>
  </si>
  <si>
    <t>Milling</t>
  </si>
  <si>
    <t>Cut handle</t>
  </si>
  <si>
    <t>Fronts Total</t>
  </si>
  <si>
    <t>Handles Total</t>
  </si>
  <si>
    <t>TOTAL COST PER FRONT</t>
  </si>
  <si>
    <t>TOTAL ORDER COST (EX-WORKS)</t>
  </si>
  <si>
    <t>PRICE CALCULATION</t>
  </si>
  <si>
    <t>A1 Silver (R1)</t>
  </si>
  <si>
    <t>A8 Inox (R1)</t>
  </si>
  <si>
    <t>A10 Matt Black (R1)</t>
  </si>
  <si>
    <t>P10 Gloss Black (R1)</t>
  </si>
  <si>
    <t>P11 Gloss White (R1)</t>
  </si>
  <si>
    <t>A1 Silver (R4)</t>
  </si>
  <si>
    <t>A10 Matt Black (R4)</t>
  </si>
  <si>
    <t>A1 Silver (R11)</t>
  </si>
  <si>
    <t>A8 Inox (R11)</t>
  </si>
  <si>
    <t>P10 Gloss Black (R11)</t>
  </si>
  <si>
    <t>P11 Gloss White (R11)</t>
  </si>
  <si>
    <t>A1 Silver (R13)</t>
  </si>
  <si>
    <t>A10 Matt Black (R13)</t>
  </si>
  <si>
    <t>A10 Matt Black (R15)</t>
  </si>
  <si>
    <t>A1 Silver (R50)</t>
  </si>
  <si>
    <t>GRASSHOPPER GROUP LIMITED</t>
  </si>
  <si>
    <t>Aluminium Profiles</t>
  </si>
  <si>
    <t>Silver anodized</t>
  </si>
  <si>
    <t>INOX</t>
  </si>
  <si>
    <t xml:space="preserve">Matt Black  </t>
  </si>
  <si>
    <t>Gloss white/black</t>
  </si>
  <si>
    <t>R1</t>
  </si>
  <si>
    <t>Finished cost per linear metre of profile R1                    (ex works)</t>
  </si>
  <si>
    <t>R4</t>
  </si>
  <si>
    <t>Finished cost per linear metre of profile R4                    (ex works)</t>
  </si>
  <si>
    <t>R10</t>
  </si>
  <si>
    <t>Finished cost per linear metre of profile R10                    (ex works)</t>
  </si>
  <si>
    <t>R11</t>
  </si>
  <si>
    <t>Finished cost per linear metre of profile R11                    (ex works)</t>
  </si>
  <si>
    <t>R13</t>
  </si>
  <si>
    <t>Finished cost per linear metre of profile R13                    (ex works)</t>
  </si>
  <si>
    <t>R15</t>
  </si>
  <si>
    <t>Finished cost per linear metre of profile R15                    (ex works)</t>
  </si>
  <si>
    <t>R50</t>
  </si>
  <si>
    <t>Finished cost per linear metre of profile R50                (ex works)</t>
  </si>
  <si>
    <t>R51</t>
  </si>
  <si>
    <t>Finished cost per linear metre of profile R51                 (ex works)</t>
  </si>
  <si>
    <r>
      <t>Frame</t>
    </r>
    <r>
      <rPr>
        <sz val="8"/>
        <color theme="0"/>
        <rFont val="Calibri"/>
        <family val="2"/>
        <scheme val="minor"/>
      </rPr>
      <t>_</t>
    </r>
    <r>
      <rPr>
        <sz val="8"/>
        <color theme="1"/>
        <rFont val="Calibri"/>
        <family val="2"/>
        <scheme val="minor"/>
      </rPr>
      <t>R5051</t>
    </r>
  </si>
  <si>
    <t>CALC</t>
  </si>
  <si>
    <t>Glass Inserts</t>
  </si>
  <si>
    <t>Description</t>
  </si>
  <si>
    <t>CLEAR GLASS</t>
  </si>
  <si>
    <t>SATINATO/LAKOMAT</t>
  </si>
  <si>
    <t>GREY PLANIBEL</t>
  </si>
  <si>
    <t>DARK GREY PLANIBEL</t>
  </si>
  <si>
    <t>MIRROR</t>
  </si>
  <si>
    <t>LACOBEL CLASSICS                                        (Black, White  or Red)</t>
  </si>
  <si>
    <t>LACOBEL TRENDIES (Colours)</t>
  </si>
  <si>
    <t>Glass and Concrete Inserts</t>
  </si>
  <si>
    <t>LACOBEL EXCLUSIVES (Metallics)</t>
  </si>
  <si>
    <t>MATELAC CLASSICS (Black, White or Silver)</t>
  </si>
  <si>
    <t>MATELAC TRENDIES (Colours)</t>
  </si>
  <si>
    <t>MATELAC EXCLUSIVES (Metallics)</t>
  </si>
  <si>
    <t>CONCRETE (Smooth - 4mm thick)</t>
  </si>
  <si>
    <t>CONCRETE (Travertine - 6mm thick)</t>
  </si>
  <si>
    <t>INS1</t>
  </si>
  <si>
    <t>INS2</t>
  </si>
  <si>
    <t>TGN1</t>
  </si>
  <si>
    <t>TGN2</t>
  </si>
  <si>
    <t>CROSS PIECES (Per Piece)</t>
  </si>
  <si>
    <t>SF1</t>
  </si>
  <si>
    <t>SF2</t>
  </si>
  <si>
    <t>Cross Pieces</t>
  </si>
  <si>
    <t xml:space="preserve">Total Number of Hinges required </t>
  </si>
  <si>
    <t>DRILLINGS FOR FRONT FIXED HANDLES (per hole)</t>
  </si>
  <si>
    <t>Front fix handles - mounting holes</t>
  </si>
  <si>
    <t>Travertine_Concrete</t>
  </si>
  <si>
    <t>A1 Silver (LU9)</t>
  </si>
  <si>
    <t>A8 Inox (LU9)</t>
  </si>
  <si>
    <t>P10 Gloss Black (LU9)</t>
  </si>
  <si>
    <t>A1 Silver (LU11)</t>
  </si>
  <si>
    <t>A8 Inox (LU11)</t>
  </si>
  <si>
    <t>P10 Gloss Black (LU11)</t>
  </si>
  <si>
    <t>A1 Silver (LU15)</t>
  </si>
  <si>
    <t>A8 Inox (LU15)</t>
  </si>
  <si>
    <t>P10 Gloss Black (LU15)</t>
  </si>
  <si>
    <t>Handle Profiles and Options</t>
  </si>
  <si>
    <t>HANDLE PROFILE LU-9</t>
  </si>
  <si>
    <t>HANDLE PROFILE LU-11</t>
  </si>
  <si>
    <t>HANDLE PROFILE LU-15</t>
  </si>
  <si>
    <t>Section</t>
  </si>
  <si>
    <t>Section                                                                            Milled Handle Section</t>
  </si>
  <si>
    <t>MILLED HANDLE IN FULL LENGTH PROFILE (Extra cost per Front)</t>
  </si>
  <si>
    <t>ADDITIONAL CHARGE PER SQ M FOR TOUGHENED GLASS (Minimum charge per piece 0.25 sq. m)</t>
  </si>
  <si>
    <t>ADDITIONAL CHARGE PER SQ M FOR SAFETY FILM BACKING (Minimum charge per piece 0.25 sq. m)</t>
  </si>
  <si>
    <t>ADDITIONAL HINGE LOCATIONS (Per location)</t>
  </si>
  <si>
    <t>PH1</t>
  </si>
  <si>
    <t>PH2</t>
  </si>
  <si>
    <t>Aluminium Fronts Frame and Insert Specification</t>
  </si>
  <si>
    <t>Aluminium Fronts Handle Specification</t>
  </si>
  <si>
    <t>Aluminium Fronts Price Calculation</t>
  </si>
  <si>
    <t>The maximum panel size is 2,580mm x 1580mm.  For very long panels, additional cross pieces may be required.</t>
  </si>
  <si>
    <t xml:space="preserve">Frames without inserts are supplied disassembled, frames with glass inserts are supplied as finished fronts. </t>
  </si>
  <si>
    <t xml:space="preserve"> </t>
  </si>
  <si>
    <t>Available?</t>
  </si>
  <si>
    <t>Required?</t>
  </si>
  <si>
    <t>Safety film backing</t>
  </si>
  <si>
    <t>Hinge 1 - Top to centre line</t>
  </si>
  <si>
    <t>Hinge 2 - Top to centre line</t>
  </si>
  <si>
    <t>Hinge 3 - Top to centre line</t>
  </si>
  <si>
    <t>Hinge 4 - Top to centre line</t>
  </si>
  <si>
    <t>Hinge 5 - Top to centre line</t>
  </si>
  <si>
    <t>Side panel thickness</t>
  </si>
  <si>
    <t>TGN3</t>
  </si>
  <si>
    <t>SF3</t>
  </si>
  <si>
    <t>OH1</t>
  </si>
  <si>
    <t>OH2</t>
  </si>
  <si>
    <t>OH3</t>
  </si>
  <si>
    <t>OH4</t>
  </si>
  <si>
    <t>OH5</t>
  </si>
  <si>
    <t>OH6</t>
  </si>
  <si>
    <t>OH7</t>
  </si>
  <si>
    <t>EF1</t>
  </si>
  <si>
    <t>MH1</t>
  </si>
  <si>
    <t>TYP1</t>
  </si>
  <si>
    <t>TYP2</t>
  </si>
  <si>
    <t>ERR1</t>
  </si>
  <si>
    <t>ERR2</t>
  </si>
  <si>
    <t>Fitted cost per sq m (ex-works)</t>
  </si>
  <si>
    <t>Frame_Only</t>
  </si>
  <si>
    <t>Picture</t>
  </si>
  <si>
    <t>screw holes per customer's specification.</t>
  </si>
  <si>
    <t>The frame cost includes the connecting fittings and two milled cut-outs per front for hinges complete with</t>
  </si>
  <si>
    <r>
      <rPr>
        <b/>
        <sz val="11"/>
        <color theme="1"/>
        <rFont val="Calibri"/>
        <family val="2"/>
        <scheme val="minor"/>
      </rPr>
      <t>R50/51 ONLY</t>
    </r>
    <r>
      <rPr>
        <sz val="11"/>
        <color theme="1"/>
        <rFont val="Calibri"/>
        <family val="2"/>
        <scheme val="minor"/>
      </rPr>
      <t xml:space="preserve"> - </t>
    </r>
    <r>
      <rPr>
        <sz val="8"/>
        <color theme="1"/>
        <rFont val="Calibri"/>
        <family val="2"/>
        <scheme val="minor"/>
      </rPr>
      <t>R51 SIDE (Top, Bottom,Right, Left or None)</t>
    </r>
  </si>
  <si>
    <t>HSDL</t>
  </si>
  <si>
    <t>HSDR</t>
  </si>
  <si>
    <t>MIS</t>
  </si>
  <si>
    <t xml:space="preserve">Panel height overall                            </t>
  </si>
  <si>
    <t xml:space="preserve">Panel width overall                           </t>
  </si>
  <si>
    <t>P11 Gloss White (R10)</t>
  </si>
  <si>
    <t>A10 Matt Black (R11)</t>
  </si>
  <si>
    <t>P10 Gloss Black (R10)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</si>
</sst>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7" formatCode="&quot;£&quot;#,##0.00;\-&quot;£&quot;#,##0.00"/>
    <numFmt numFmtId="44" formatCode="_-&quot;£&quot;* #,##0.00_-;\-&quot;£&quot;* #,##0.00_-;_-&quot;£&quot;* &quot;-&quot;??_-;_-@_-"/>
    <numFmt numFmtId="164" formatCode="_-* #,##0.00&quot; zł&quot;_-;\-* #,##0.00&quot; zł&quot;_-;_-* \-??&quot; zł&quot;_-;_-@_-"/>
    <numFmt numFmtId="165" formatCode="_-* #,##0.00\ [$zł-415]_-;\-* #,##0.00\ [$zł-415]_-;_-* \-??\ [$zł-415]_-;_-@_-"/>
    <numFmt numFmtId="166" formatCode="&quot;£&quot;#,##0.00"/>
  </numFmts>
  <fonts count="30" x14ac:knownFonts="1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sz val="10"/>
      <name val="Arial"/>
      <family val="2"/>
    </font>
    <font>
      <b/>
      <sz val="11"/>
      <color rgb="FFFF0000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8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</font>
    <font>
      <b/>
      <i/>
      <sz val="10"/>
      <name val="Arial CE"/>
      <family val="2"/>
      <charset val="238"/>
    </font>
    <font>
      <sz val="9"/>
      <name val="Arial CE"/>
      <family val="2"/>
      <charset val="238"/>
    </font>
    <font>
      <sz val="24"/>
      <name val="Arial CE"/>
      <family val="2"/>
      <charset val="238"/>
    </font>
    <font>
      <b/>
      <sz val="10"/>
      <color indexed="9"/>
      <name val="Calibri"/>
      <family val="2"/>
      <charset val="238"/>
    </font>
    <font>
      <sz val="9"/>
      <color indexed="9"/>
      <name val="Calibri"/>
      <family val="2"/>
      <charset val="238"/>
    </font>
    <font>
      <b/>
      <sz val="9"/>
      <color indexed="9"/>
      <name val="Calibri"/>
      <family val="2"/>
      <charset val="238"/>
    </font>
    <font>
      <sz val="11"/>
      <name val="Calibri"/>
      <family val="2"/>
      <charset val="238"/>
    </font>
    <font>
      <b/>
      <sz val="22"/>
      <name val="Calibri"/>
      <family val="2"/>
      <charset val="238"/>
    </font>
    <font>
      <b/>
      <sz val="11"/>
      <color indexed="9"/>
      <name val="Arial"/>
      <family val="2"/>
      <charset val="238"/>
    </font>
    <font>
      <b/>
      <sz val="11"/>
      <name val="Arial"/>
      <family val="2"/>
      <charset val="238"/>
    </font>
    <font>
      <b/>
      <sz val="11"/>
      <color indexed="9"/>
      <name val="Calibri"/>
      <family val="2"/>
      <charset val="238"/>
    </font>
    <font>
      <b/>
      <sz val="20"/>
      <name val="Calibri"/>
      <family val="2"/>
      <charset val="238"/>
    </font>
    <font>
      <sz val="9"/>
      <name val="Calibri"/>
      <family val="2"/>
      <charset val="238"/>
    </font>
    <font>
      <sz val="9"/>
      <color theme="1"/>
      <name val="Calibri"/>
      <family val="2"/>
      <charset val="238"/>
      <scheme val="minor"/>
    </font>
    <font>
      <b/>
      <sz val="14"/>
      <color theme="1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6"/>
      <name val="Calibri"/>
      <family val="2"/>
      <charset val="238"/>
    </font>
    <font>
      <sz val="16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8"/>
        <bgColor indexed="58"/>
      </patternFill>
    </fill>
    <fill>
      <patternFill patternType="solid">
        <fgColor indexed="30"/>
        <bgColor indexed="21"/>
      </patternFill>
    </fill>
    <fill>
      <patternFill patternType="solid">
        <fgColor rgb="FFA5A5A5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</fills>
  <borders count="4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hair">
        <color rgb="FF3F3F3F"/>
      </top>
      <bottom style="hair">
        <color rgb="FF3F3F3F"/>
      </bottom>
      <diagonal/>
    </border>
  </borders>
  <cellStyleXfs count="3">
    <xf numFmtId="0" fontId="0" fillId="0" borderId="0"/>
    <xf numFmtId="44" fontId="7" fillId="0" borderId="0" applyFont="0" applyFill="0" applyBorder="0" applyAlignment="0" applyProtection="0"/>
    <xf numFmtId="0" fontId="27" fillId="7" borderId="41" applyNumberFormat="0" applyAlignment="0" applyProtection="0"/>
  </cellStyleXfs>
  <cellXfs count="195">
    <xf numFmtId="0" fontId="0" fillId="0" borderId="0" xfId="0"/>
    <xf numFmtId="0" fontId="0" fillId="0" borderId="0" xfId="0" applyProtection="1">
      <protection hidden="1"/>
    </xf>
    <xf numFmtId="0" fontId="0" fillId="0" borderId="0" xfId="0" applyAlignment="1" applyProtection="1">
      <alignment horizontal="right"/>
      <protection hidden="1"/>
    </xf>
    <xf numFmtId="0" fontId="11" fillId="0" borderId="0" xfId="0" applyFont="1" applyProtection="1">
      <protection hidden="1"/>
    </xf>
    <xf numFmtId="0" fontId="14" fillId="5" borderId="0" xfId="0" applyFont="1" applyFill="1" applyAlignment="1" applyProtection="1">
      <alignment horizontal="center" vertical="center" wrapText="1"/>
      <protection hidden="1"/>
    </xf>
    <xf numFmtId="0" fontId="15" fillId="5" borderId="24" xfId="0" applyFont="1" applyFill="1" applyBorder="1" applyAlignment="1" applyProtection="1">
      <alignment vertical="center" wrapText="1"/>
      <protection hidden="1"/>
    </xf>
    <xf numFmtId="7" fontId="19" fillId="0" borderId="23" xfId="1" applyNumberFormat="1" applyFont="1" applyFill="1" applyBorder="1" applyAlignment="1" applyProtection="1">
      <alignment horizontal="center" vertical="center" wrapText="1"/>
      <protection hidden="1"/>
    </xf>
    <xf numFmtId="7" fontId="19" fillId="0" borderId="22" xfId="1" applyNumberFormat="1" applyFont="1" applyFill="1" applyBorder="1" applyAlignment="1" applyProtection="1">
      <alignment horizontal="center" vertical="center" wrapText="1"/>
      <protection hidden="1"/>
    </xf>
    <xf numFmtId="164" fontId="19" fillId="0" borderId="22" xfId="1" applyNumberFormat="1" applyFont="1" applyFill="1" applyBorder="1" applyAlignment="1" applyProtection="1">
      <alignment horizontal="center" vertical="center" wrapText="1"/>
      <protection hidden="1"/>
    </xf>
    <xf numFmtId="0" fontId="19" fillId="0" borderId="28" xfId="0" applyFont="1" applyBorder="1" applyAlignment="1" applyProtection="1">
      <alignment horizontal="center" vertical="center" wrapText="1"/>
      <protection hidden="1"/>
    </xf>
    <xf numFmtId="164" fontId="19" fillId="0" borderId="23" xfId="1" applyNumberFormat="1" applyFont="1" applyFill="1" applyBorder="1" applyAlignment="1" applyProtection="1">
      <alignment horizontal="center" vertical="center" wrapText="1"/>
      <protection hidden="1"/>
    </xf>
    <xf numFmtId="0" fontId="16" fillId="0" borderId="0" xfId="0" applyFont="1" applyAlignment="1" applyProtection="1">
      <alignment vertical="center" wrapText="1"/>
      <protection hidden="1"/>
    </xf>
    <xf numFmtId="0" fontId="17" fillId="0" borderId="0" xfId="0" applyFont="1" applyAlignment="1" applyProtection="1">
      <alignment horizontal="right" vertical="center" wrapText="1"/>
      <protection hidden="1"/>
    </xf>
    <xf numFmtId="7" fontId="19" fillId="0" borderId="0" xfId="1" applyNumberFormat="1" applyFont="1" applyFill="1" applyBorder="1" applyAlignment="1" applyProtection="1">
      <alignment horizontal="center" vertical="center" wrapText="1"/>
      <protection hidden="1"/>
    </xf>
    <xf numFmtId="164" fontId="19" fillId="0" borderId="0" xfId="1" applyNumberFormat="1" applyFont="1" applyFill="1" applyBorder="1" applyAlignment="1" applyProtection="1">
      <alignment horizontal="center" vertical="center" wrapText="1"/>
      <protection hidden="1"/>
    </xf>
    <xf numFmtId="165" fontId="0" fillId="0" borderId="0" xfId="0" applyNumberFormat="1" applyProtection="1">
      <protection hidden="1"/>
    </xf>
    <xf numFmtId="0" fontId="10" fillId="0" borderId="0" xfId="0" applyFont="1" applyProtection="1">
      <protection hidden="1"/>
    </xf>
    <xf numFmtId="7" fontId="0" fillId="0" borderId="0" xfId="0" applyNumberFormat="1" applyProtection="1">
      <protection hidden="1"/>
    </xf>
    <xf numFmtId="7" fontId="21" fillId="0" borderId="0" xfId="0" applyNumberFormat="1" applyFont="1" applyAlignment="1" applyProtection="1">
      <alignment horizontal="center" vertical="center" wrapText="1"/>
      <protection hidden="1"/>
    </xf>
    <xf numFmtId="7" fontId="21" fillId="0" borderId="24" xfId="0" applyNumberFormat="1" applyFont="1" applyBorder="1" applyAlignment="1" applyProtection="1">
      <alignment horizontal="center" vertical="center" wrapText="1"/>
      <protection hidden="1"/>
    </xf>
    <xf numFmtId="0" fontId="16" fillId="0" borderId="24" xfId="0" applyFont="1" applyBorder="1" applyAlignment="1" applyProtection="1">
      <alignment horizontal="center" vertical="center" wrapText="1"/>
      <protection hidden="1"/>
    </xf>
    <xf numFmtId="0" fontId="16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16" fillId="0" borderId="31" xfId="0" applyFont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/>
      <protection hidden="1"/>
    </xf>
    <xf numFmtId="49" fontId="1" fillId="0" borderId="0" xfId="0" applyNumberFormat="1" applyFont="1" applyAlignment="1" applyProtection="1">
      <alignment horizontal="center"/>
      <protection hidden="1"/>
    </xf>
    <xf numFmtId="0" fontId="0" fillId="0" borderId="1" xfId="0" applyBorder="1" applyAlignment="1" applyProtection="1">
      <alignment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2" xfId="0" applyBorder="1" applyProtection="1">
      <protection hidden="1"/>
    </xf>
    <xf numFmtId="0" fontId="0" fillId="0" borderId="3" xfId="0" applyBorder="1" applyAlignment="1" applyProtection="1">
      <alignment horizontal="center" vertical="center"/>
      <protection hidden="1"/>
    </xf>
    <xf numFmtId="0" fontId="0" fillId="0" borderId="4" xfId="0" applyBorder="1" applyAlignment="1" applyProtection="1">
      <alignment horizontal="center" vertical="center"/>
      <protection hidden="1"/>
    </xf>
    <xf numFmtId="0" fontId="0" fillId="0" borderId="5" xfId="0" applyBorder="1" applyProtection="1">
      <protection hidden="1"/>
    </xf>
    <xf numFmtId="0" fontId="4" fillId="0" borderId="6" xfId="0" applyFont="1" applyBorder="1" applyAlignment="1" applyProtection="1">
      <alignment horizontal="center" vertical="center"/>
      <protection hidden="1"/>
    </xf>
    <xf numFmtId="49" fontId="0" fillId="0" borderId="0" xfId="0" applyNumberFormat="1" applyProtection="1">
      <protection hidden="1"/>
    </xf>
    <xf numFmtId="0" fontId="0" fillId="2" borderId="6" xfId="0" applyFill="1" applyBorder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3" fillId="3" borderId="0" xfId="0" applyFont="1" applyFill="1" applyAlignment="1" applyProtection="1">
      <alignment horizontal="center" vertical="center" wrapText="1"/>
      <protection hidden="1"/>
    </xf>
    <xf numFmtId="0" fontId="6" fillId="3" borderId="0" xfId="0" applyFont="1" applyFill="1" applyAlignment="1" applyProtection="1">
      <alignment horizontal="center" vertical="center" wrapText="1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49" fontId="1" fillId="0" borderId="0" xfId="0" applyNumberFormat="1" applyFont="1" applyAlignment="1" applyProtection="1">
      <alignment horizontal="center" vertical="center"/>
      <protection hidden="1"/>
    </xf>
    <xf numFmtId="49" fontId="1" fillId="0" borderId="0" xfId="0" applyNumberFormat="1" applyFont="1" applyAlignment="1" applyProtection="1">
      <alignment horizontal="center" vertical="center" wrapText="1"/>
      <protection hidden="1"/>
    </xf>
    <xf numFmtId="0" fontId="0" fillId="0" borderId="5" xfId="0" applyBorder="1" applyAlignment="1" applyProtection="1">
      <alignment vertical="center" wrapText="1"/>
      <protection hidden="1"/>
    </xf>
    <xf numFmtId="49" fontId="1" fillId="0" borderId="0" xfId="0" applyNumberFormat="1" applyFont="1" applyProtection="1">
      <protection hidden="1"/>
    </xf>
    <xf numFmtId="0" fontId="25" fillId="0" borderId="6" xfId="0" applyFont="1" applyBorder="1" applyAlignment="1" applyProtection="1">
      <alignment horizontal="center" vertical="center" wrapText="1"/>
      <protection hidden="1"/>
    </xf>
    <xf numFmtId="0" fontId="0" fillId="0" borderId="5" xfId="0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49" fontId="1" fillId="0" borderId="0" xfId="0" applyNumberFormat="1" applyFont="1" applyAlignment="1" applyProtection="1">
      <alignment vertical="center"/>
      <protection hidden="1"/>
    </xf>
    <xf numFmtId="49" fontId="0" fillId="0" borderId="0" xfId="0" applyNumberFormat="1" applyAlignment="1" applyProtection="1">
      <alignment horizontal="center" vertical="center"/>
      <protection hidden="1"/>
    </xf>
    <xf numFmtId="49" fontId="0" fillId="0" borderId="0" xfId="0" applyNumberFormat="1" applyAlignment="1" applyProtection="1">
      <alignment vertical="center"/>
      <protection hidden="1"/>
    </xf>
    <xf numFmtId="0" fontId="5" fillId="0" borderId="6" xfId="0" applyFont="1" applyBorder="1" applyAlignment="1" applyProtection="1">
      <alignment horizontal="center" vertical="center" wrapText="1" shrinkToFit="1"/>
      <protection hidden="1"/>
    </xf>
    <xf numFmtId="49" fontId="0" fillId="0" borderId="0" xfId="0" applyNumberFormat="1" applyAlignment="1" applyProtection="1">
      <alignment horizontal="center"/>
      <protection hidden="1"/>
    </xf>
    <xf numFmtId="0" fontId="0" fillId="4" borderId="6" xfId="0" applyFill="1" applyBorder="1" applyAlignment="1" applyProtection="1">
      <alignment horizontal="center" vertical="center"/>
      <protection hidden="1"/>
    </xf>
    <xf numFmtId="0" fontId="26" fillId="0" borderId="6" xfId="0" applyFont="1" applyBorder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5" fillId="0" borderId="7" xfId="0" applyFont="1" applyBorder="1" applyAlignment="1" applyProtection="1">
      <alignment horizontal="center" vertical="center"/>
      <protection hidden="1"/>
    </xf>
    <xf numFmtId="0" fontId="5" fillId="0" borderId="6" xfId="0" applyFont="1" applyBorder="1" applyAlignment="1" applyProtection="1">
      <alignment horizontal="center" vertical="center"/>
      <protection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horizontal="center" vertical="center"/>
      <protection hidden="1"/>
    </xf>
    <xf numFmtId="3" fontId="0" fillId="2" borderId="6" xfId="0" applyNumberFormat="1" applyFill="1" applyBorder="1" applyAlignment="1" applyProtection="1">
      <alignment horizontal="center" vertical="center"/>
      <protection locked="0" hidden="1"/>
    </xf>
    <xf numFmtId="0" fontId="0" fillId="2" borderId="6" xfId="0" applyFill="1" applyBorder="1" applyAlignment="1" applyProtection="1">
      <alignment horizontal="center" vertical="center"/>
      <protection locked="0" hidden="1"/>
    </xf>
    <xf numFmtId="0" fontId="1" fillId="2" borderId="6" xfId="0" applyFont="1" applyFill="1" applyBorder="1" applyAlignment="1" applyProtection="1">
      <alignment horizontal="center" vertical="center" wrapText="1"/>
      <protection locked="0" hidden="1"/>
    </xf>
    <xf numFmtId="49" fontId="0" fillId="2" borderId="6" xfId="0" applyNumberFormat="1" applyFill="1" applyBorder="1" applyAlignment="1" applyProtection="1">
      <alignment horizontal="center" vertical="center"/>
      <protection locked="0" hidden="1"/>
    </xf>
    <xf numFmtId="0" fontId="1" fillId="2" borderId="6" xfId="0" applyFont="1" applyFill="1" applyBorder="1" applyAlignment="1" applyProtection="1">
      <alignment horizontal="center" vertical="center" wrapText="1" shrinkToFit="1"/>
      <protection locked="0" hidden="1"/>
    </xf>
    <xf numFmtId="49" fontId="1" fillId="2" borderId="6" xfId="0" applyNumberFormat="1" applyFont="1" applyFill="1" applyBorder="1" applyAlignment="1" applyProtection="1">
      <alignment horizontal="center" vertical="center"/>
      <protection locked="0" hidden="1"/>
    </xf>
    <xf numFmtId="0" fontId="0" fillId="0" borderId="9" xfId="0" applyBorder="1" applyProtection="1">
      <protection hidden="1"/>
    </xf>
    <xf numFmtId="0" fontId="0" fillId="0" borderId="9" xfId="0" applyBorder="1" applyAlignment="1" applyProtection="1">
      <alignment horizontal="center" vertical="center"/>
      <protection hidden="1"/>
    </xf>
    <xf numFmtId="0" fontId="0" fillId="2" borderId="10" xfId="0" applyFill="1" applyBorder="1" applyAlignment="1" applyProtection="1">
      <alignment horizontal="center" vertical="center"/>
      <protection locked="0" hidden="1"/>
    </xf>
    <xf numFmtId="0" fontId="0" fillId="0" borderId="14" xfId="0" applyBorder="1" applyAlignment="1" applyProtection="1">
      <alignment horizontal="center"/>
      <protection hidden="1"/>
    </xf>
    <xf numFmtId="0" fontId="5" fillId="0" borderId="6" xfId="0" applyFont="1" applyBorder="1" applyAlignment="1" applyProtection="1">
      <alignment horizontal="center" vertical="center" wrapText="1"/>
      <protection hidden="1"/>
    </xf>
    <xf numFmtId="0" fontId="5" fillId="0" borderId="36" xfId="0" applyFont="1" applyBorder="1" applyAlignment="1" applyProtection="1">
      <alignment horizontal="center" vertical="center"/>
      <protection hidden="1"/>
    </xf>
    <xf numFmtId="0" fontId="5" fillId="0" borderId="7" xfId="0" applyFont="1" applyBorder="1" applyAlignment="1" applyProtection="1">
      <alignment horizontal="center" vertical="center" wrapText="1"/>
      <protection hidden="1"/>
    </xf>
    <xf numFmtId="0" fontId="0" fillId="0" borderId="37" xfId="0" applyBorder="1" applyAlignment="1" applyProtection="1">
      <alignment horizontal="center" vertical="center"/>
      <protection hidden="1"/>
    </xf>
    <xf numFmtId="3" fontId="5" fillId="0" borderId="10" xfId="0" applyNumberFormat="1" applyFont="1" applyBorder="1" applyAlignment="1" applyProtection="1">
      <alignment vertical="center"/>
      <protection hidden="1"/>
    </xf>
    <xf numFmtId="0" fontId="1" fillId="2" borderId="6" xfId="0" applyFont="1" applyFill="1" applyBorder="1" applyAlignment="1" applyProtection="1">
      <alignment horizontal="center" vertical="center"/>
      <protection locked="0" hidden="1"/>
    </xf>
    <xf numFmtId="3" fontId="0" fillId="2" borderId="7" xfId="0" applyNumberFormat="1" applyFill="1" applyBorder="1" applyAlignment="1" applyProtection="1">
      <alignment horizontal="center" vertical="center"/>
      <protection locked="0" hidden="1"/>
    </xf>
    <xf numFmtId="0" fontId="0" fillId="0" borderId="1" xfId="0" applyBorder="1" applyAlignment="1" applyProtection="1">
      <alignment horizontal="center"/>
      <protection hidden="1"/>
    </xf>
    <xf numFmtId="49" fontId="1" fillId="0" borderId="0" xfId="0" applyNumberFormat="1" applyFont="1" applyAlignment="1" applyProtection="1">
      <alignment horizontal="left"/>
      <protection hidden="1"/>
    </xf>
    <xf numFmtId="0" fontId="0" fillId="0" borderId="4" xfId="0" applyBorder="1" applyAlignment="1" applyProtection="1">
      <alignment horizontal="left"/>
      <protection hidden="1"/>
    </xf>
    <xf numFmtId="4" fontId="1" fillId="0" borderId="0" xfId="0" applyNumberFormat="1" applyFont="1" applyAlignment="1" applyProtection="1">
      <alignment horizontal="center"/>
      <protection hidden="1"/>
    </xf>
    <xf numFmtId="0" fontId="0" fillId="0" borderId="6" xfId="0" applyBorder="1" applyAlignment="1" applyProtection="1">
      <alignment horizontal="left"/>
      <protection hidden="1"/>
    </xf>
    <xf numFmtId="4" fontId="0" fillId="0" borderId="6" xfId="0" applyNumberFormat="1" applyBorder="1" applyAlignment="1" applyProtection="1">
      <alignment horizontal="left"/>
      <protection hidden="1"/>
    </xf>
    <xf numFmtId="4" fontId="0" fillId="0" borderId="6" xfId="0" applyNumberFormat="1" applyBorder="1" applyAlignment="1" applyProtection="1">
      <alignment horizontal="right" indent="1"/>
      <protection hidden="1"/>
    </xf>
    <xf numFmtId="4" fontId="0" fillId="0" borderId="0" xfId="0" applyNumberFormat="1" applyProtection="1">
      <protection hidden="1"/>
    </xf>
    <xf numFmtId="0" fontId="0" fillId="0" borderId="7" xfId="0" applyBorder="1" applyAlignment="1" applyProtection="1">
      <alignment horizontal="right"/>
      <protection hidden="1"/>
    </xf>
    <xf numFmtId="166" fontId="8" fillId="2" borderId="1" xfId="0" applyNumberFormat="1" applyFont="1" applyFill="1" applyBorder="1" applyAlignment="1" applyProtection="1">
      <alignment horizontal="right" indent="1"/>
      <protection hidden="1"/>
    </xf>
    <xf numFmtId="0" fontId="0" fillId="0" borderId="36" xfId="0" applyBorder="1" applyAlignment="1" applyProtection="1">
      <alignment horizontal="left"/>
      <protection hidden="1"/>
    </xf>
    <xf numFmtId="39" fontId="0" fillId="0" borderId="6" xfId="0" applyNumberFormat="1" applyBorder="1" applyAlignment="1" applyProtection="1">
      <alignment horizontal="right" indent="1"/>
      <protection hidden="1"/>
    </xf>
    <xf numFmtId="0" fontId="0" fillId="0" borderId="0" xfId="0" applyAlignment="1" applyProtection="1">
      <alignment horizontal="left"/>
      <protection hidden="1"/>
    </xf>
    <xf numFmtId="0" fontId="0" fillId="0" borderId="7" xfId="0" applyBorder="1" applyAlignment="1" applyProtection="1">
      <alignment horizontal="left"/>
      <protection hidden="1"/>
    </xf>
    <xf numFmtId="7" fontId="8" fillId="2" borderId="1" xfId="0" applyNumberFormat="1" applyFont="1" applyFill="1" applyBorder="1" applyAlignment="1" applyProtection="1">
      <alignment horizontal="right" indent="1"/>
      <protection hidden="1"/>
    </xf>
    <xf numFmtId="0" fontId="0" fillId="0" borderId="37" xfId="0" applyBorder="1" applyAlignment="1" applyProtection="1">
      <alignment horizontal="left"/>
      <protection hidden="1"/>
    </xf>
    <xf numFmtId="166" fontId="8" fillId="2" borderId="2" xfId="0" applyNumberFormat="1" applyFont="1" applyFill="1" applyBorder="1" applyAlignment="1" applyProtection="1">
      <alignment horizontal="right" indent="1"/>
      <protection hidden="1"/>
    </xf>
    <xf numFmtId="0" fontId="0" fillId="0" borderId="8" xfId="0" applyBorder="1" applyAlignment="1" applyProtection="1">
      <alignment horizontal="left"/>
      <protection hidden="1"/>
    </xf>
    <xf numFmtId="0" fontId="0" fillId="0" borderId="8" xfId="0" applyBorder="1" applyAlignment="1" applyProtection="1">
      <alignment horizontal="center"/>
      <protection hidden="1"/>
    </xf>
    <xf numFmtId="0" fontId="0" fillId="0" borderId="13" xfId="0" applyBorder="1" applyAlignment="1" applyProtection="1">
      <alignment horizontal="center"/>
      <protection hidden="1"/>
    </xf>
    <xf numFmtId="166" fontId="24" fillId="2" borderId="39" xfId="0" applyNumberFormat="1" applyFont="1" applyFill="1" applyBorder="1" applyAlignment="1" applyProtection="1">
      <alignment horizontal="right" indent="1"/>
      <protection hidden="1"/>
    </xf>
    <xf numFmtId="0" fontId="0" fillId="0" borderId="38" xfId="0" applyBorder="1" applyAlignment="1" applyProtection="1">
      <alignment horizontal="center" vertical="center"/>
      <protection hidden="1"/>
    </xf>
    <xf numFmtId="0" fontId="0" fillId="0" borderId="38" xfId="0" applyBorder="1" applyAlignment="1" applyProtection="1">
      <alignment horizontal="left"/>
      <protection hidden="1"/>
    </xf>
    <xf numFmtId="0" fontId="0" fillId="0" borderId="38" xfId="0" applyBorder="1" applyProtection="1">
      <protection hidden="1"/>
    </xf>
    <xf numFmtId="0" fontId="0" fillId="0" borderId="15" xfId="0" applyBorder="1" applyProtection="1">
      <protection hidden="1"/>
    </xf>
    <xf numFmtId="0" fontId="0" fillId="0" borderId="11" xfId="0" applyBorder="1" applyProtection="1">
      <protection hidden="1"/>
    </xf>
    <xf numFmtId="0" fontId="0" fillId="0" borderId="37" xfId="0" applyBorder="1" applyProtection="1">
      <protection hidden="1"/>
    </xf>
    <xf numFmtId="0" fontId="0" fillId="0" borderId="40" xfId="0" applyBorder="1" applyProtection="1">
      <protection hidden="1"/>
    </xf>
    <xf numFmtId="0" fontId="0" fillId="0" borderId="3" xfId="0" applyBorder="1" applyProtection="1">
      <protection hidden="1"/>
    </xf>
    <xf numFmtId="0" fontId="5" fillId="0" borderId="36" xfId="0" applyFont="1" applyBorder="1" applyAlignment="1" applyProtection="1">
      <alignment horizontal="center" vertical="center" wrapText="1"/>
      <protection hidden="1"/>
    </xf>
    <xf numFmtId="0" fontId="1" fillId="2" borderId="7" xfId="0" applyFont="1" applyFill="1" applyBorder="1" applyAlignment="1" applyProtection="1">
      <alignment horizontal="center" vertical="center" wrapText="1"/>
      <protection locked="0" hidden="1"/>
    </xf>
    <xf numFmtId="0" fontId="1" fillId="2" borderId="42" xfId="2" applyNumberFormat="1" applyFont="1" applyFill="1" applyBorder="1" applyAlignment="1" applyProtection="1">
      <alignment horizontal="center" vertical="center" wrapText="1"/>
      <protection locked="0" hidden="1"/>
    </xf>
    <xf numFmtId="7" fontId="0" fillId="2" borderId="0" xfId="0" applyNumberFormat="1" applyFill="1" applyAlignment="1" applyProtection="1">
      <alignment horizontal="center" vertical="center"/>
      <protection hidden="1"/>
    </xf>
    <xf numFmtId="10" fontId="0" fillId="9" borderId="0" xfId="0" applyNumberFormat="1" applyFill="1" applyAlignment="1" applyProtection="1">
      <alignment horizontal="center" vertical="center"/>
      <protection hidden="1"/>
    </xf>
    <xf numFmtId="2" fontId="0" fillId="0" borderId="0" xfId="0" applyNumberFormat="1" applyAlignment="1" applyProtection="1">
      <alignment horizontal="center" vertical="center"/>
      <protection hidden="1"/>
    </xf>
    <xf numFmtId="10" fontId="0" fillId="0" borderId="0" xfId="0" applyNumberFormat="1" applyAlignment="1" applyProtection="1">
      <alignment horizontal="center" vertical="center"/>
      <protection hidden="1"/>
    </xf>
    <xf numFmtId="10" fontId="0" fillId="0" borderId="0" xfId="0" applyNumberFormat="1" applyProtection="1">
      <protection hidden="1"/>
    </xf>
    <xf numFmtId="2" fontId="0" fillId="8" borderId="0" xfId="0" applyNumberFormat="1" applyFill="1" applyAlignment="1" applyProtection="1">
      <alignment horizontal="center" vertical="center"/>
      <protection hidden="1"/>
    </xf>
    <xf numFmtId="0" fontId="0" fillId="11" borderId="0" xfId="0" applyFill="1" applyAlignment="1" applyProtection="1">
      <alignment horizontal="center" vertical="center"/>
      <protection hidden="1"/>
    </xf>
    <xf numFmtId="7" fontId="0" fillId="0" borderId="0" xfId="0" applyNumberFormat="1" applyAlignment="1" applyProtection="1">
      <alignment horizontal="center" vertical="center"/>
      <protection hidden="1"/>
    </xf>
    <xf numFmtId="10" fontId="11" fillId="0" borderId="0" xfId="0" applyNumberFormat="1" applyFont="1" applyProtection="1">
      <protection hidden="1"/>
    </xf>
    <xf numFmtId="2" fontId="0" fillId="0" borderId="0" xfId="0" applyNumberFormat="1" applyProtection="1">
      <protection hidden="1"/>
    </xf>
    <xf numFmtId="2" fontId="11" fillId="0" borderId="0" xfId="0" applyNumberFormat="1" applyFont="1" applyProtection="1">
      <protection hidden="1"/>
    </xf>
    <xf numFmtId="2" fontId="12" fillId="0" borderId="0" xfId="0" applyNumberFormat="1" applyFont="1" applyAlignment="1" applyProtection="1">
      <alignment horizontal="center" vertical="center"/>
      <protection hidden="1"/>
    </xf>
    <xf numFmtId="0" fontId="10" fillId="0" borderId="0" xfId="0" applyFont="1" applyProtection="1"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0" fillId="0" borderId="38" xfId="0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Protection="1">
      <protection hidden="1"/>
    </xf>
    <xf numFmtId="0" fontId="24" fillId="0" borderId="5" xfId="0" applyFont="1" applyBorder="1" applyProtection="1">
      <protection hidden="1"/>
    </xf>
    <xf numFmtId="0" fontId="24" fillId="0" borderId="0" xfId="0" applyFont="1" applyProtection="1">
      <protection hidden="1"/>
    </xf>
    <xf numFmtId="0" fontId="8" fillId="0" borderId="20" xfId="0" applyFont="1" applyBorder="1" applyProtection="1">
      <protection hidden="1"/>
    </xf>
    <xf numFmtId="0" fontId="8" fillId="0" borderId="21" xfId="0" applyFont="1" applyBorder="1" applyProtection="1">
      <protection hidden="1"/>
    </xf>
    <xf numFmtId="0" fontId="8" fillId="0" borderId="18" xfId="0" applyFont="1" applyBorder="1" applyProtection="1">
      <protection hidden="1"/>
    </xf>
    <xf numFmtId="0" fontId="8" fillId="0" borderId="19" xfId="0" applyFont="1" applyBorder="1" applyProtection="1">
      <protection hidden="1"/>
    </xf>
    <xf numFmtId="0" fontId="0" fillId="0" borderId="11" xfId="0" applyBorder="1" applyAlignment="1" applyProtection="1">
      <alignment vertical="center"/>
      <protection hidden="1"/>
    </xf>
    <xf numFmtId="0" fontId="0" fillId="0" borderId="12" xfId="0" applyBorder="1" applyAlignment="1" applyProtection="1">
      <alignment vertical="center"/>
      <protection hidden="1"/>
    </xf>
    <xf numFmtId="0" fontId="0" fillId="0" borderId="16" xfId="0" applyBorder="1" applyProtection="1">
      <protection hidden="1"/>
    </xf>
    <xf numFmtId="0" fontId="0" fillId="0" borderId="17" xfId="0" applyBorder="1" applyProtection="1">
      <protection hidden="1"/>
    </xf>
    <xf numFmtId="0" fontId="13" fillId="5" borderId="22" xfId="0" applyFont="1" applyFill="1" applyBorder="1" applyAlignment="1" applyProtection="1">
      <alignment horizontal="center" vertical="center" wrapText="1"/>
      <protection hidden="1"/>
    </xf>
    <xf numFmtId="0" fontId="13" fillId="5" borderId="23" xfId="0" applyFont="1" applyFill="1" applyBorder="1" applyAlignment="1" applyProtection="1">
      <alignment horizontal="center" vertical="center" wrapText="1"/>
      <protection hidden="1"/>
    </xf>
    <xf numFmtId="0" fontId="16" fillId="0" borderId="25" xfId="0" applyFont="1" applyBorder="1" applyAlignment="1" applyProtection="1">
      <alignment vertical="top" wrapText="1"/>
      <protection hidden="1"/>
    </xf>
    <xf numFmtId="0" fontId="17" fillId="0" borderId="26" xfId="0" applyFont="1" applyBorder="1" applyAlignment="1" applyProtection="1">
      <alignment horizontal="right" vertical="center" wrapText="1"/>
      <protection hidden="1"/>
    </xf>
    <xf numFmtId="0" fontId="18" fillId="6" borderId="27" xfId="0" applyFont="1" applyFill="1" applyBorder="1" applyAlignment="1" applyProtection="1">
      <alignment horizontal="center" vertical="center" wrapText="1"/>
      <protection hidden="1"/>
    </xf>
    <xf numFmtId="0" fontId="18" fillId="6" borderId="25" xfId="0" applyFont="1" applyFill="1" applyBorder="1" applyAlignment="1" applyProtection="1">
      <alignment horizontal="center" vertical="center" wrapText="1"/>
      <protection hidden="1"/>
    </xf>
    <xf numFmtId="0" fontId="18" fillId="6" borderId="26" xfId="0" applyFont="1" applyFill="1" applyBorder="1" applyAlignment="1" applyProtection="1">
      <alignment horizontal="center" vertical="center" wrapText="1"/>
      <protection hidden="1"/>
    </xf>
    <xf numFmtId="0" fontId="16" fillId="0" borderId="24" xfId="0" applyFont="1" applyBorder="1" applyAlignment="1" applyProtection="1">
      <alignment vertical="center" wrapText="1"/>
      <protection hidden="1"/>
    </xf>
    <xf numFmtId="0" fontId="17" fillId="0" borderId="22" xfId="0" applyFont="1" applyBorder="1" applyAlignment="1" applyProtection="1">
      <alignment horizontal="right" vertical="center" wrapText="1"/>
      <protection hidden="1"/>
    </xf>
    <xf numFmtId="0" fontId="16" fillId="0" borderId="31" xfId="0" applyFont="1" applyBorder="1" applyAlignment="1" applyProtection="1">
      <alignment horizontal="center" vertical="center" wrapText="1"/>
      <protection hidden="1"/>
    </xf>
    <xf numFmtId="7" fontId="21" fillId="0" borderId="33" xfId="0" applyNumberFormat="1" applyFont="1" applyBorder="1" applyAlignment="1" applyProtection="1">
      <alignment horizontal="center" vertical="center" wrapText="1"/>
      <protection hidden="1"/>
    </xf>
    <xf numFmtId="7" fontId="21" fillId="0" borderId="28" xfId="0" applyNumberFormat="1" applyFont="1" applyBorder="1" applyAlignment="1" applyProtection="1">
      <alignment horizontal="center" vertical="center" wrapText="1"/>
      <protection hidden="1"/>
    </xf>
    <xf numFmtId="7" fontId="21" fillId="0" borderId="34" xfId="0" applyNumberFormat="1" applyFont="1" applyBorder="1" applyAlignment="1" applyProtection="1">
      <alignment horizontal="center" vertical="center" wrapText="1"/>
      <protection hidden="1"/>
    </xf>
    <xf numFmtId="7" fontId="21" fillId="0" borderId="32" xfId="0" applyNumberFormat="1" applyFont="1" applyBorder="1" applyAlignment="1" applyProtection="1">
      <alignment horizontal="center" vertical="center" wrapText="1"/>
      <protection hidden="1"/>
    </xf>
    <xf numFmtId="7" fontId="21" fillId="0" borderId="35" xfId="0" applyNumberFormat="1" applyFont="1" applyBorder="1" applyAlignment="1" applyProtection="1">
      <alignment horizontal="center" vertical="center" wrapText="1"/>
      <protection hidden="1"/>
    </xf>
    <xf numFmtId="7" fontId="21" fillId="0" borderId="22" xfId="0" applyNumberFormat="1" applyFont="1" applyBorder="1" applyAlignment="1" applyProtection="1">
      <alignment horizontal="center" vertical="center" wrapText="1"/>
      <protection hidden="1"/>
    </xf>
    <xf numFmtId="0" fontId="20" fillId="5" borderId="29" xfId="0" applyFont="1" applyFill="1" applyBorder="1" applyAlignment="1" applyProtection="1">
      <alignment horizontal="center" vertical="center" wrapText="1"/>
      <protection hidden="1"/>
    </xf>
    <xf numFmtId="0" fontId="20" fillId="5" borderId="30" xfId="0" applyFont="1" applyFill="1" applyBorder="1" applyAlignment="1" applyProtection="1">
      <alignment horizontal="center" vertical="center" wrapText="1"/>
      <protection hidden="1"/>
    </xf>
    <xf numFmtId="0" fontId="20" fillId="5" borderId="23" xfId="0" applyFont="1" applyFill="1" applyBorder="1" applyAlignment="1" applyProtection="1">
      <alignment horizontal="center" vertical="center" wrapText="1"/>
      <protection hidden="1"/>
    </xf>
    <xf numFmtId="165" fontId="20" fillId="5" borderId="33" xfId="0" applyNumberFormat="1" applyFont="1" applyFill="1" applyBorder="1" applyAlignment="1" applyProtection="1">
      <alignment horizontal="center" vertical="center" wrapText="1"/>
      <protection hidden="1"/>
    </xf>
    <xf numFmtId="165" fontId="20" fillId="5" borderId="28" xfId="0" applyNumberFormat="1" applyFont="1" applyFill="1" applyBorder="1" applyAlignment="1" applyProtection="1">
      <alignment horizontal="center" vertical="center" wrapText="1"/>
      <protection hidden="1"/>
    </xf>
    <xf numFmtId="165" fontId="20" fillId="5" borderId="34" xfId="0" applyNumberFormat="1" applyFont="1" applyFill="1" applyBorder="1" applyAlignment="1" applyProtection="1">
      <alignment horizontal="center" vertical="center" wrapText="1"/>
      <protection hidden="1"/>
    </xf>
    <xf numFmtId="165" fontId="20" fillId="5" borderId="32" xfId="0" applyNumberFormat="1" applyFont="1" applyFill="1" applyBorder="1" applyAlignment="1" applyProtection="1">
      <alignment horizontal="center" vertical="center" wrapText="1"/>
      <protection hidden="1"/>
    </xf>
    <xf numFmtId="165" fontId="20" fillId="5" borderId="35" xfId="0" applyNumberFormat="1" applyFont="1" applyFill="1" applyBorder="1" applyAlignment="1" applyProtection="1">
      <alignment horizontal="center" vertical="center" wrapText="1"/>
      <protection hidden="1"/>
    </xf>
    <xf numFmtId="165" fontId="20" fillId="5" borderId="22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33" xfId="0" applyBorder="1" applyAlignment="1" applyProtection="1">
      <alignment horizontal="left" vertical="center" indent="1"/>
      <protection hidden="1"/>
    </xf>
    <xf numFmtId="0" fontId="0" fillId="0" borderId="28" xfId="0" applyBorder="1" applyAlignment="1" applyProtection="1">
      <alignment horizontal="left" vertical="center" indent="1"/>
      <protection hidden="1"/>
    </xf>
    <xf numFmtId="0" fontId="0" fillId="0" borderId="34" xfId="0" applyBorder="1" applyAlignment="1" applyProtection="1">
      <alignment horizontal="left" vertical="center" indent="1"/>
      <protection hidden="1"/>
    </xf>
    <xf numFmtId="0" fontId="0" fillId="0" borderId="32" xfId="0" applyBorder="1" applyAlignment="1" applyProtection="1">
      <alignment horizontal="left" vertical="center" indent="1"/>
      <protection hidden="1"/>
    </xf>
    <xf numFmtId="0" fontId="0" fillId="0" borderId="35" xfId="0" applyBorder="1" applyAlignment="1" applyProtection="1">
      <alignment horizontal="left" vertical="center" indent="1"/>
      <protection hidden="1"/>
    </xf>
    <xf numFmtId="0" fontId="0" fillId="0" borderId="22" xfId="0" applyBorder="1" applyAlignment="1" applyProtection="1">
      <alignment horizontal="left" vertical="center" indent="1"/>
      <protection hidden="1"/>
    </xf>
    <xf numFmtId="0" fontId="16" fillId="0" borderId="29" xfId="0" applyFont="1" applyBorder="1" applyAlignment="1" applyProtection="1">
      <alignment horizontal="center" vertical="top" wrapText="1"/>
      <protection hidden="1"/>
    </xf>
    <xf numFmtId="0" fontId="16" fillId="0" borderId="30" xfId="0" applyFont="1" applyBorder="1" applyAlignment="1" applyProtection="1">
      <alignment horizontal="center" vertical="top" wrapText="1"/>
      <protection hidden="1"/>
    </xf>
    <xf numFmtId="0" fontId="16" fillId="0" borderId="23" xfId="0" applyFont="1" applyBorder="1" applyAlignment="1" applyProtection="1">
      <alignment horizontal="center" vertical="top" wrapText="1"/>
      <protection hidden="1"/>
    </xf>
    <xf numFmtId="0" fontId="16" fillId="0" borderId="29" xfId="0" applyFont="1" applyBorder="1" applyAlignment="1" applyProtection="1">
      <alignment horizontal="center" vertical="center" wrapText="1"/>
      <protection hidden="1"/>
    </xf>
    <xf numFmtId="0" fontId="16" fillId="0" borderId="30" xfId="0" applyFont="1" applyBorder="1" applyAlignment="1" applyProtection="1">
      <alignment horizontal="center" vertical="center" wrapText="1"/>
      <protection hidden="1"/>
    </xf>
    <xf numFmtId="0" fontId="16" fillId="0" borderId="23" xfId="0" applyFont="1" applyBorder="1" applyAlignment="1" applyProtection="1">
      <alignment horizontal="center" vertical="center" wrapText="1"/>
      <protection hidden="1"/>
    </xf>
    <xf numFmtId="0" fontId="16" fillId="0" borderId="29" xfId="0" applyFont="1" applyBorder="1" applyAlignment="1" applyProtection="1">
      <alignment horizontal="left" vertical="top" wrapText="1" indent="9"/>
      <protection hidden="1"/>
    </xf>
    <xf numFmtId="0" fontId="16" fillId="0" borderId="30" xfId="0" applyFont="1" applyBorder="1" applyAlignment="1" applyProtection="1">
      <alignment horizontal="left" vertical="top" wrapText="1" indent="9"/>
      <protection hidden="1"/>
    </xf>
    <xf numFmtId="0" fontId="16" fillId="0" borderId="23" xfId="0" applyFont="1" applyBorder="1" applyAlignment="1" applyProtection="1">
      <alignment horizontal="left" vertical="top" wrapText="1" indent="9"/>
      <protection hidden="1"/>
    </xf>
    <xf numFmtId="0" fontId="22" fillId="0" borderId="29" xfId="0" applyFont="1" applyBorder="1" applyAlignment="1" applyProtection="1">
      <alignment horizontal="center" vertical="center" wrapText="1"/>
      <protection hidden="1"/>
    </xf>
    <xf numFmtId="0" fontId="22" fillId="0" borderId="30" xfId="0" applyFont="1" applyBorder="1" applyAlignment="1" applyProtection="1">
      <alignment horizontal="center" vertical="center" wrapText="1"/>
      <protection hidden="1"/>
    </xf>
    <xf numFmtId="0" fontId="22" fillId="0" borderId="23" xfId="0" applyFont="1" applyBorder="1" applyAlignment="1" applyProtection="1">
      <alignment horizontal="center" vertical="center" wrapText="1"/>
      <protection hidden="1"/>
    </xf>
    <xf numFmtId="7" fontId="28" fillId="0" borderId="29" xfId="0" applyNumberFormat="1" applyFont="1" applyBorder="1" applyAlignment="1" applyProtection="1">
      <alignment horizontal="center" vertical="center" wrapText="1"/>
      <protection hidden="1"/>
    </xf>
    <xf numFmtId="0" fontId="29" fillId="0" borderId="30" xfId="0" applyFont="1" applyBorder="1" applyProtection="1">
      <protection hidden="1"/>
    </xf>
    <xf numFmtId="0" fontId="29" fillId="0" borderId="23" xfId="0" applyFont="1" applyBorder="1" applyProtection="1">
      <protection hidden="1"/>
    </xf>
    <xf numFmtId="7" fontId="28" fillId="0" borderId="30" xfId="0" applyNumberFormat="1" applyFont="1" applyBorder="1" applyAlignment="1" applyProtection="1">
      <alignment horizontal="center" vertical="center" wrapText="1"/>
      <protection hidden="1"/>
    </xf>
    <xf numFmtId="7" fontId="28" fillId="0" borderId="23" xfId="0" applyNumberFormat="1" applyFont="1" applyBorder="1" applyAlignment="1" applyProtection="1">
      <alignment horizontal="center" vertical="center" wrapText="1"/>
      <protection hidden="1"/>
    </xf>
    <xf numFmtId="0" fontId="23" fillId="0" borderId="30" xfId="0" applyFont="1" applyBorder="1" applyAlignment="1" applyProtection="1">
      <alignment wrapText="1"/>
      <protection hidden="1"/>
    </xf>
    <xf numFmtId="0" fontId="23" fillId="0" borderId="23" xfId="0" applyFont="1" applyBorder="1" applyAlignment="1" applyProtection="1">
      <alignment wrapText="1"/>
      <protection hidden="1"/>
    </xf>
    <xf numFmtId="2" fontId="0" fillId="8" borderId="34" xfId="0" applyNumberFormat="1" applyFill="1" applyBorder="1" applyAlignment="1" applyProtection="1">
      <alignment horizontal="center" vertical="center"/>
      <protection hidden="1"/>
    </xf>
    <xf numFmtId="2" fontId="0" fillId="11" borderId="0" xfId="0" applyNumberFormat="1" applyFill="1" applyAlignment="1" applyProtection="1">
      <alignment horizontal="center" vertical="center"/>
      <protection hidden="1"/>
    </xf>
    <xf numFmtId="2" fontId="0" fillId="2" borderId="0" xfId="0" applyNumberFormat="1" applyFill="1" applyAlignment="1" applyProtection="1">
      <alignment horizontal="center" vertical="center"/>
      <protection hidden="1"/>
    </xf>
    <xf numFmtId="10" fontId="0" fillId="10" borderId="0" xfId="0" applyNumberFormat="1" applyFill="1" applyAlignment="1" applyProtection="1">
      <alignment horizontal="center" vertical="center"/>
      <protection hidden="1"/>
    </xf>
    <xf numFmtId="0" fontId="0" fillId="0" borderId="28" xfId="0" applyBorder="1" applyProtection="1">
      <protection hidden="1"/>
    </xf>
    <xf numFmtId="0" fontId="0" fillId="0" borderId="34" xfId="0" applyBorder="1" applyProtection="1">
      <protection hidden="1"/>
    </xf>
    <xf numFmtId="0" fontId="0" fillId="0" borderId="32" xfId="0" applyBorder="1" applyProtection="1">
      <protection hidden="1"/>
    </xf>
    <xf numFmtId="0" fontId="0" fillId="0" borderId="35" xfId="0" applyBorder="1" applyProtection="1">
      <protection hidden="1"/>
    </xf>
    <xf numFmtId="0" fontId="0" fillId="0" borderId="22" xfId="0" applyBorder="1" applyProtection="1">
      <protection hidden="1"/>
    </xf>
    <xf numFmtId="165" fontId="21" fillId="0" borderId="31" xfId="0" applyNumberFormat="1" applyFont="1" applyBorder="1" applyAlignment="1" applyProtection="1">
      <alignment horizontal="center" vertical="center" wrapText="1"/>
      <protection hidden="1"/>
    </xf>
  </cellXfs>
  <cellStyles count="3">
    <cellStyle name="Check Cell" xfId="2" builtinId="23"/>
    <cellStyle name="Currency" xfId="1" builtinId="4"/>
    <cellStyle name="Normal" xfId="0" builtinId="0"/>
  </cellStyles>
  <dxfs count="0"/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0.jpeg"/><Relationship Id="rId18" Type="http://schemas.openxmlformats.org/officeDocument/2006/relationships/image" Target="../media/image35.emf"/><Relationship Id="rId26" Type="http://schemas.openxmlformats.org/officeDocument/2006/relationships/image" Target="../media/image43.emf"/><Relationship Id="rId3" Type="http://schemas.openxmlformats.org/officeDocument/2006/relationships/image" Target="../media/image20.png"/><Relationship Id="rId21" Type="http://schemas.openxmlformats.org/officeDocument/2006/relationships/image" Target="../media/image38.emf"/><Relationship Id="rId34" Type="http://schemas.openxmlformats.org/officeDocument/2006/relationships/image" Target="../media/image51.jpeg"/><Relationship Id="rId7" Type="http://schemas.openxmlformats.org/officeDocument/2006/relationships/image" Target="../media/image24.png"/><Relationship Id="rId12" Type="http://schemas.openxmlformats.org/officeDocument/2006/relationships/image" Target="../media/image29.jpeg"/><Relationship Id="rId17" Type="http://schemas.openxmlformats.org/officeDocument/2006/relationships/image" Target="../media/image34.jpeg"/><Relationship Id="rId25" Type="http://schemas.openxmlformats.org/officeDocument/2006/relationships/image" Target="../media/image42.emf"/><Relationship Id="rId33" Type="http://schemas.openxmlformats.org/officeDocument/2006/relationships/image" Target="../media/image50.jpeg"/><Relationship Id="rId2" Type="http://schemas.openxmlformats.org/officeDocument/2006/relationships/image" Target="../media/image19.png"/><Relationship Id="rId16" Type="http://schemas.openxmlformats.org/officeDocument/2006/relationships/image" Target="../media/image33.jpeg"/><Relationship Id="rId20" Type="http://schemas.openxmlformats.org/officeDocument/2006/relationships/image" Target="../media/image37.emf"/><Relationship Id="rId29" Type="http://schemas.openxmlformats.org/officeDocument/2006/relationships/image" Target="../media/image46.emf"/><Relationship Id="rId1" Type="http://schemas.openxmlformats.org/officeDocument/2006/relationships/image" Target="../media/image18.png"/><Relationship Id="rId6" Type="http://schemas.openxmlformats.org/officeDocument/2006/relationships/image" Target="../media/image23.png"/><Relationship Id="rId11" Type="http://schemas.openxmlformats.org/officeDocument/2006/relationships/image" Target="../media/image28.jpeg"/><Relationship Id="rId24" Type="http://schemas.openxmlformats.org/officeDocument/2006/relationships/image" Target="../media/image41.emf"/><Relationship Id="rId32" Type="http://schemas.openxmlformats.org/officeDocument/2006/relationships/image" Target="../media/image49.jpeg"/><Relationship Id="rId5" Type="http://schemas.openxmlformats.org/officeDocument/2006/relationships/image" Target="../media/image22.png"/><Relationship Id="rId15" Type="http://schemas.openxmlformats.org/officeDocument/2006/relationships/image" Target="../media/image32.jpeg"/><Relationship Id="rId23" Type="http://schemas.openxmlformats.org/officeDocument/2006/relationships/image" Target="../media/image40.emf"/><Relationship Id="rId28" Type="http://schemas.openxmlformats.org/officeDocument/2006/relationships/image" Target="../media/image45.emf"/><Relationship Id="rId36" Type="http://schemas.openxmlformats.org/officeDocument/2006/relationships/image" Target="../media/image1.emf"/><Relationship Id="rId10" Type="http://schemas.openxmlformats.org/officeDocument/2006/relationships/image" Target="../media/image27.jpeg"/><Relationship Id="rId19" Type="http://schemas.openxmlformats.org/officeDocument/2006/relationships/image" Target="../media/image36.emf"/><Relationship Id="rId31" Type="http://schemas.openxmlformats.org/officeDocument/2006/relationships/image" Target="../media/image48.emf"/><Relationship Id="rId4" Type="http://schemas.openxmlformats.org/officeDocument/2006/relationships/image" Target="../media/image21.png"/><Relationship Id="rId9" Type="http://schemas.openxmlformats.org/officeDocument/2006/relationships/image" Target="../media/image26.jpeg"/><Relationship Id="rId14" Type="http://schemas.openxmlformats.org/officeDocument/2006/relationships/image" Target="../media/image31.jpeg"/><Relationship Id="rId22" Type="http://schemas.openxmlformats.org/officeDocument/2006/relationships/image" Target="../media/image39.emf"/><Relationship Id="rId27" Type="http://schemas.openxmlformats.org/officeDocument/2006/relationships/image" Target="../media/image44.emf"/><Relationship Id="rId30" Type="http://schemas.openxmlformats.org/officeDocument/2006/relationships/image" Target="../media/image47.emf"/><Relationship Id="rId35" Type="http://schemas.openxmlformats.org/officeDocument/2006/relationships/image" Target="../media/image52.jpeg"/><Relationship Id="rId8" Type="http://schemas.openxmlformats.org/officeDocument/2006/relationships/image" Target="../media/image2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304800</xdr:colOff>
      <xdr:row>0</xdr:row>
      <xdr:rowOff>190500</xdr:rowOff>
    </xdr:from>
    <xdr:to>
      <xdr:col>11</xdr:col>
      <xdr:colOff>860425</xdr:colOff>
      <xdr:row>2</xdr:row>
      <xdr:rowOff>76200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Arrowheads="1"/>
        </xdr:cNvSpPr>
      </xdr:nvSpPr>
      <xdr:spPr bwMode="auto">
        <a:xfrm>
          <a:off x="11582400" y="190500"/>
          <a:ext cx="1603375" cy="114300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/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/>
        <a:lstStyle/>
        <a:p>
          <a:endParaRPr lang="en-GB"/>
        </a:p>
      </xdr:txBody>
    </xdr:sp>
    <xdr:clientData/>
  </xdr:twoCellAnchor>
  <xdr:twoCellAnchor>
    <xdr:from>
      <xdr:col>10</xdr:col>
      <xdr:colOff>523875</xdr:colOff>
      <xdr:row>0</xdr:row>
      <xdr:rowOff>304800</xdr:rowOff>
    </xdr:from>
    <xdr:to>
      <xdr:col>11</xdr:col>
      <xdr:colOff>657225</xdr:colOff>
      <xdr:row>1</xdr:row>
      <xdr:rowOff>857250</xdr:rowOff>
    </xdr:to>
    <xdr:pic>
      <xdr:nvPicPr>
        <xdr:cNvPr id="3" name="Obraz 47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01475" y="304800"/>
          <a:ext cx="1181100" cy="9144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304800</xdr:colOff>
      <xdr:row>0</xdr:row>
      <xdr:rowOff>190500</xdr:rowOff>
    </xdr:from>
    <xdr:to>
      <xdr:col>10</xdr:col>
      <xdr:colOff>860425</xdr:colOff>
      <xdr:row>2</xdr:row>
      <xdr:rowOff>76200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 noChangeArrowheads="1"/>
        </xdr:cNvSpPr>
      </xdr:nvSpPr>
      <xdr:spPr bwMode="auto">
        <a:xfrm>
          <a:off x="11582400" y="190500"/>
          <a:ext cx="1603375" cy="114300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/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/>
        <a:lstStyle/>
        <a:p>
          <a:endParaRPr lang="en-GB"/>
        </a:p>
      </xdr:txBody>
    </xdr:sp>
    <xdr:clientData/>
  </xdr:twoCellAnchor>
  <xdr:twoCellAnchor>
    <xdr:from>
      <xdr:col>9</xdr:col>
      <xdr:colOff>523875</xdr:colOff>
      <xdr:row>0</xdr:row>
      <xdr:rowOff>304800</xdr:rowOff>
    </xdr:from>
    <xdr:to>
      <xdr:col>10</xdr:col>
      <xdr:colOff>657225</xdr:colOff>
      <xdr:row>1</xdr:row>
      <xdr:rowOff>857250</xdr:rowOff>
    </xdr:to>
    <xdr:pic>
      <xdr:nvPicPr>
        <xdr:cNvPr id="3" name="Obraz 47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01475" y="304800"/>
          <a:ext cx="1181100" cy="9144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304800</xdr:colOff>
      <xdr:row>0</xdr:row>
      <xdr:rowOff>190500</xdr:rowOff>
    </xdr:from>
    <xdr:to>
      <xdr:col>10</xdr:col>
      <xdr:colOff>860425</xdr:colOff>
      <xdr:row>2</xdr:row>
      <xdr:rowOff>76200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>
          <a:spLocks noChangeArrowheads="1"/>
        </xdr:cNvSpPr>
      </xdr:nvSpPr>
      <xdr:spPr bwMode="auto">
        <a:xfrm>
          <a:off x="9648825" y="190500"/>
          <a:ext cx="1470025" cy="114300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/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/>
        <a:lstStyle/>
        <a:p>
          <a:endParaRPr lang="en-GB"/>
        </a:p>
      </xdr:txBody>
    </xdr:sp>
    <xdr:clientData/>
  </xdr:twoCellAnchor>
  <xdr:twoCellAnchor>
    <xdr:from>
      <xdr:col>9</xdr:col>
      <xdr:colOff>523875</xdr:colOff>
      <xdr:row>0</xdr:row>
      <xdr:rowOff>304800</xdr:rowOff>
    </xdr:from>
    <xdr:to>
      <xdr:col>10</xdr:col>
      <xdr:colOff>657225</xdr:colOff>
      <xdr:row>1</xdr:row>
      <xdr:rowOff>857250</xdr:rowOff>
    </xdr:to>
    <xdr:pic>
      <xdr:nvPicPr>
        <xdr:cNvPr id="3" name="Obraz 47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867900" y="304800"/>
          <a:ext cx="1047750" cy="9144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219075</xdr:colOff>
      <xdr:row>0</xdr:row>
      <xdr:rowOff>66675</xdr:rowOff>
    </xdr:from>
    <xdr:to>
      <xdr:col>6</xdr:col>
      <xdr:colOff>774700</xdr:colOff>
      <xdr:row>1</xdr:row>
      <xdr:rowOff>847725</xdr:rowOff>
    </xdr:to>
    <xdr:sp macro="" textlink="">
      <xdr:nvSpPr>
        <xdr:cNvPr id="3" name="AutoShape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>
          <a:spLocks noChangeArrowheads="1"/>
        </xdr:cNvSpPr>
      </xdr:nvSpPr>
      <xdr:spPr bwMode="auto">
        <a:xfrm>
          <a:off x="4876800" y="66675"/>
          <a:ext cx="1470025" cy="114300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/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/>
        <a:lstStyle/>
        <a:p>
          <a:endParaRPr lang="en-GB"/>
        </a:p>
      </xdr:txBody>
    </xdr:sp>
    <xdr:clientData/>
  </xdr:twoCellAnchor>
  <xdr:twoCellAnchor>
    <xdr:from>
      <xdr:col>5</xdr:col>
      <xdr:colOff>371475</xdr:colOff>
      <xdr:row>0</xdr:row>
      <xdr:rowOff>152400</xdr:rowOff>
    </xdr:from>
    <xdr:to>
      <xdr:col>6</xdr:col>
      <xdr:colOff>638175</xdr:colOff>
      <xdr:row>1</xdr:row>
      <xdr:rowOff>704850</xdr:rowOff>
    </xdr:to>
    <xdr:pic>
      <xdr:nvPicPr>
        <xdr:cNvPr id="2" name="Obraz 47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29200" y="152400"/>
          <a:ext cx="1181100" cy="9144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495300</xdr:colOff>
      <xdr:row>4</xdr:row>
      <xdr:rowOff>200025</xdr:rowOff>
    </xdr:from>
    <xdr:to>
      <xdr:col>2</xdr:col>
      <xdr:colOff>438150</xdr:colOff>
      <xdr:row>5</xdr:row>
      <xdr:rowOff>342900</xdr:rowOff>
    </xdr:to>
    <xdr:pic>
      <xdr:nvPicPr>
        <xdr:cNvPr id="4" name="Picture 2054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33525" y="2152650"/>
          <a:ext cx="742950" cy="6000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219075</xdr:colOff>
      <xdr:row>4</xdr:row>
      <xdr:rowOff>57150</xdr:rowOff>
    </xdr:from>
    <xdr:to>
      <xdr:col>0</xdr:col>
      <xdr:colOff>1019175</xdr:colOff>
      <xdr:row>5</xdr:row>
      <xdr:rowOff>400050</xdr:rowOff>
    </xdr:to>
    <xdr:pic>
      <xdr:nvPicPr>
        <xdr:cNvPr id="5" name="Obraz 1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19075" y="2009775"/>
          <a:ext cx="800100" cy="8001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200025</xdr:colOff>
      <xdr:row>6</xdr:row>
      <xdr:rowOff>133350</xdr:rowOff>
    </xdr:from>
    <xdr:to>
      <xdr:col>2</xdr:col>
      <xdr:colOff>495300</xdr:colOff>
      <xdr:row>7</xdr:row>
      <xdr:rowOff>276225</xdr:rowOff>
    </xdr:to>
    <xdr:pic>
      <xdr:nvPicPr>
        <xdr:cNvPr id="6" name="Picture 205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38250" y="3000375"/>
          <a:ext cx="1095375" cy="6000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219077</xdr:colOff>
      <xdr:row>6</xdr:row>
      <xdr:rowOff>57151</xdr:rowOff>
    </xdr:from>
    <xdr:to>
      <xdr:col>0</xdr:col>
      <xdr:colOff>1009286</xdr:colOff>
      <xdr:row>7</xdr:row>
      <xdr:rowOff>390160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19077" y="2924176"/>
          <a:ext cx="790209" cy="790209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523875</xdr:colOff>
      <xdr:row>8</xdr:row>
      <xdr:rowOff>114300</xdr:rowOff>
    </xdr:from>
    <xdr:to>
      <xdr:col>2</xdr:col>
      <xdr:colOff>361950</xdr:colOff>
      <xdr:row>9</xdr:row>
      <xdr:rowOff>323850</xdr:rowOff>
    </xdr:to>
    <xdr:pic>
      <xdr:nvPicPr>
        <xdr:cNvPr id="8" name=" 0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562100" y="3895725"/>
          <a:ext cx="638175" cy="6667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228600</xdr:colOff>
      <xdr:row>8</xdr:row>
      <xdr:rowOff>76200</xdr:rowOff>
    </xdr:from>
    <xdr:to>
      <xdr:col>0</xdr:col>
      <xdr:colOff>1009650</xdr:colOff>
      <xdr:row>9</xdr:row>
      <xdr:rowOff>400050</xdr:rowOff>
    </xdr:to>
    <xdr:pic>
      <xdr:nvPicPr>
        <xdr:cNvPr id="9" name="Obraz 31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28600" y="3857625"/>
          <a:ext cx="781050" cy="7810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123825</xdr:colOff>
      <xdr:row>10</xdr:row>
      <xdr:rowOff>190500</xdr:rowOff>
    </xdr:from>
    <xdr:to>
      <xdr:col>2</xdr:col>
      <xdr:colOff>485775</xdr:colOff>
      <xdr:row>11</xdr:row>
      <xdr:rowOff>314325</xdr:rowOff>
    </xdr:to>
    <xdr:pic>
      <xdr:nvPicPr>
        <xdr:cNvPr id="10" name="Obraz 22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162050" y="4886325"/>
          <a:ext cx="1162050" cy="5810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190500</xdr:colOff>
      <xdr:row>10</xdr:row>
      <xdr:rowOff>95250</xdr:rowOff>
    </xdr:from>
    <xdr:to>
      <xdr:col>1</xdr:col>
      <xdr:colOff>47625</xdr:colOff>
      <xdr:row>11</xdr:row>
      <xdr:rowOff>333375</xdr:rowOff>
    </xdr:to>
    <xdr:pic>
      <xdr:nvPicPr>
        <xdr:cNvPr id="11" name="Obraz 32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90500" y="4791075"/>
          <a:ext cx="895350" cy="6953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1</xdr:col>
      <xdr:colOff>171450</xdr:colOff>
      <xdr:row>12</xdr:row>
      <xdr:rowOff>190500</xdr:rowOff>
    </xdr:from>
    <xdr:to>
      <xdr:col>2</xdr:col>
      <xdr:colOff>457200</xdr:colOff>
      <xdr:row>13</xdr:row>
      <xdr:rowOff>323850</xdr:rowOff>
    </xdr:to>
    <xdr:pic>
      <xdr:nvPicPr>
        <xdr:cNvPr id="12" name="Picture 23" descr="R13 Profile.jpg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209675" y="5800725"/>
          <a:ext cx="108585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12</xdr:row>
      <xdr:rowOff>95250</xdr:rowOff>
    </xdr:from>
    <xdr:to>
      <xdr:col>1</xdr:col>
      <xdr:colOff>47625</xdr:colOff>
      <xdr:row>13</xdr:row>
      <xdr:rowOff>333375</xdr:rowOff>
    </xdr:to>
    <xdr:pic>
      <xdr:nvPicPr>
        <xdr:cNvPr id="13" name="Picture 22" descr="R13 Frame.jpg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80975" y="5705475"/>
          <a:ext cx="9048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400050</xdr:colOff>
      <xdr:row>14</xdr:row>
      <xdr:rowOff>19050</xdr:rowOff>
    </xdr:from>
    <xdr:to>
      <xdr:col>2</xdr:col>
      <xdr:colOff>428625</xdr:colOff>
      <xdr:row>15</xdr:row>
      <xdr:rowOff>390525</xdr:rowOff>
    </xdr:to>
    <xdr:pic>
      <xdr:nvPicPr>
        <xdr:cNvPr id="14" name="Picture 34" descr="R15 DWG.jpg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438275" y="6543675"/>
          <a:ext cx="82867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14</xdr:row>
      <xdr:rowOff>76200</xdr:rowOff>
    </xdr:from>
    <xdr:to>
      <xdr:col>1</xdr:col>
      <xdr:colOff>19050</xdr:colOff>
      <xdr:row>15</xdr:row>
      <xdr:rowOff>361950</xdr:rowOff>
    </xdr:to>
    <xdr:pic>
      <xdr:nvPicPr>
        <xdr:cNvPr id="15" name="Picture 35" descr="R15 cropped.jpg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71450" y="6600825"/>
          <a:ext cx="8858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16</xdr:row>
      <xdr:rowOff>209550</xdr:rowOff>
    </xdr:from>
    <xdr:to>
      <xdr:col>2</xdr:col>
      <xdr:colOff>438150</xdr:colOff>
      <xdr:row>17</xdr:row>
      <xdr:rowOff>276225</xdr:rowOff>
    </xdr:to>
    <xdr:pic>
      <xdr:nvPicPr>
        <xdr:cNvPr id="16" name="Picture 29" descr="R50 DWG.jpg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190625" y="7648575"/>
          <a:ext cx="108585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16</xdr:row>
      <xdr:rowOff>57150</xdr:rowOff>
    </xdr:from>
    <xdr:to>
      <xdr:col>0</xdr:col>
      <xdr:colOff>968502</xdr:colOff>
      <xdr:row>17</xdr:row>
      <xdr:rowOff>389890</xdr:rowOff>
    </xdr:to>
    <xdr:pic>
      <xdr:nvPicPr>
        <xdr:cNvPr id="17" name="Picture 28" descr="R50 pic.jpg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47650" y="7496175"/>
          <a:ext cx="720852" cy="789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18</xdr:row>
      <xdr:rowOff>209550</xdr:rowOff>
    </xdr:from>
    <xdr:to>
      <xdr:col>2</xdr:col>
      <xdr:colOff>447675</xdr:colOff>
      <xdr:row>19</xdr:row>
      <xdr:rowOff>219075</xdr:rowOff>
    </xdr:to>
    <xdr:pic>
      <xdr:nvPicPr>
        <xdr:cNvPr id="18" name="Picture 31" descr="R51 DWG.jpg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47750" y="8562975"/>
          <a:ext cx="12382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18</xdr:row>
      <xdr:rowOff>47625</xdr:rowOff>
    </xdr:from>
    <xdr:to>
      <xdr:col>0</xdr:col>
      <xdr:colOff>1000125</xdr:colOff>
      <xdr:row>19</xdr:row>
      <xdr:rowOff>390525</xdr:rowOff>
    </xdr:to>
    <xdr:pic>
      <xdr:nvPicPr>
        <xdr:cNvPr id="19" name="Picture 30" descr="R51A.jpg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14300" y="8401050"/>
          <a:ext cx="8858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1638300</xdr:colOff>
      <xdr:row>144</xdr:row>
      <xdr:rowOff>228600</xdr:rowOff>
    </xdr:from>
    <xdr:to>
      <xdr:col>3</xdr:col>
      <xdr:colOff>584200</xdr:colOff>
      <xdr:row>145</xdr:row>
      <xdr:rowOff>1009650</xdr:rowOff>
    </xdr:to>
    <xdr:sp macro="" textlink="">
      <xdr:nvSpPr>
        <xdr:cNvPr id="125" name="AutoShape 1">
          <a:extLst>
            <a:ext uri="{FF2B5EF4-FFF2-40B4-BE49-F238E27FC236}">
              <a16:creationId xmlns:a16="http://schemas.microsoft.com/office/drawing/2014/main" id="{00000000-0008-0000-0400-00007D000000}"/>
            </a:ext>
          </a:extLst>
        </xdr:cNvPr>
        <xdr:cNvSpPr>
          <a:spLocks noChangeArrowheads="1"/>
        </xdr:cNvSpPr>
      </xdr:nvSpPr>
      <xdr:spPr bwMode="auto">
        <a:xfrm>
          <a:off x="6115050" y="25765125"/>
          <a:ext cx="1603375" cy="114300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/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/>
        <a:lstStyle/>
        <a:p>
          <a:endParaRPr lang="en-GB"/>
        </a:p>
      </xdr:txBody>
    </xdr:sp>
    <xdr:clientData/>
  </xdr:twoCellAnchor>
  <xdr:twoCellAnchor>
    <xdr:from>
      <xdr:col>1</xdr:col>
      <xdr:colOff>1600200</xdr:colOff>
      <xdr:row>0</xdr:row>
      <xdr:rowOff>190500</xdr:rowOff>
    </xdr:from>
    <xdr:to>
      <xdr:col>3</xdr:col>
      <xdr:colOff>546100</xdr:colOff>
      <xdr:row>2</xdr:row>
      <xdr:rowOff>76200</xdr:rowOff>
    </xdr:to>
    <xdr:sp macro="" textlink="">
      <xdr:nvSpPr>
        <xdr:cNvPr id="121" name="AutoShape 1">
          <a:extLst>
            <a:ext uri="{FF2B5EF4-FFF2-40B4-BE49-F238E27FC236}">
              <a16:creationId xmlns:a16="http://schemas.microsoft.com/office/drawing/2014/main" id="{00000000-0008-0000-0400-000079000000}"/>
            </a:ext>
          </a:extLst>
        </xdr:cNvPr>
        <xdr:cNvSpPr>
          <a:spLocks noChangeArrowheads="1"/>
        </xdr:cNvSpPr>
      </xdr:nvSpPr>
      <xdr:spPr bwMode="auto">
        <a:xfrm>
          <a:off x="6076950" y="190500"/>
          <a:ext cx="1603375" cy="114300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/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/>
        <a:lstStyle/>
        <a:p>
          <a:endParaRPr lang="en-GB"/>
        </a:p>
      </xdr:txBody>
    </xdr:sp>
    <xdr:clientData/>
  </xdr:twoCellAnchor>
  <xdr:twoCellAnchor>
    <xdr:from>
      <xdr:col>0</xdr:col>
      <xdr:colOff>1619250</xdr:colOff>
      <xdr:row>55</xdr:row>
      <xdr:rowOff>66675</xdr:rowOff>
    </xdr:from>
    <xdr:to>
      <xdr:col>0</xdr:col>
      <xdr:colOff>3143250</xdr:colOff>
      <xdr:row>63</xdr:row>
      <xdr:rowOff>95250</xdr:rowOff>
    </xdr:to>
    <xdr:pic>
      <xdr:nvPicPr>
        <xdr:cNvPr id="40" name="Obraz 20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9250" y="9934575"/>
          <a:ext cx="1524000" cy="1314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723900</xdr:colOff>
      <xdr:row>6</xdr:row>
      <xdr:rowOff>47625</xdr:rowOff>
    </xdr:from>
    <xdr:to>
      <xdr:col>0</xdr:col>
      <xdr:colOff>2495550</xdr:colOff>
      <xdr:row>15</xdr:row>
      <xdr:rowOff>114300</xdr:rowOff>
    </xdr:to>
    <xdr:pic>
      <xdr:nvPicPr>
        <xdr:cNvPr id="41" name="Obraz 30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3900" y="2009775"/>
          <a:ext cx="1771650" cy="15240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723900</xdr:colOff>
      <xdr:row>16</xdr:row>
      <xdr:rowOff>38100</xdr:rowOff>
    </xdr:from>
    <xdr:to>
      <xdr:col>0</xdr:col>
      <xdr:colOff>2505075</xdr:colOff>
      <xdr:row>25</xdr:row>
      <xdr:rowOff>85725</xdr:rowOff>
    </xdr:to>
    <xdr:pic>
      <xdr:nvPicPr>
        <xdr:cNvPr id="42" name="Obraz 26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23900" y="3629025"/>
          <a:ext cx="1781175" cy="14954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114300</xdr:colOff>
      <xdr:row>55</xdr:row>
      <xdr:rowOff>66675</xdr:rowOff>
    </xdr:from>
    <xdr:to>
      <xdr:col>0</xdr:col>
      <xdr:colOff>1609725</xdr:colOff>
      <xdr:row>63</xdr:row>
      <xdr:rowOff>85725</xdr:rowOff>
    </xdr:to>
    <xdr:pic>
      <xdr:nvPicPr>
        <xdr:cNvPr id="43" name="Obraz 15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4300" y="9934575"/>
          <a:ext cx="1495425" cy="13049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771525</xdr:colOff>
      <xdr:row>46</xdr:row>
      <xdr:rowOff>57150</xdr:rowOff>
    </xdr:from>
    <xdr:to>
      <xdr:col>0</xdr:col>
      <xdr:colOff>2352675</xdr:colOff>
      <xdr:row>54</xdr:row>
      <xdr:rowOff>95250</xdr:rowOff>
    </xdr:to>
    <xdr:pic>
      <xdr:nvPicPr>
        <xdr:cNvPr id="44" name="Obraz 64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71525" y="8477250"/>
          <a:ext cx="1581150" cy="13239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571500</xdr:colOff>
      <xdr:row>36</xdr:row>
      <xdr:rowOff>38100</xdr:rowOff>
    </xdr:from>
    <xdr:to>
      <xdr:col>0</xdr:col>
      <xdr:colOff>2609850</xdr:colOff>
      <xdr:row>44</xdr:row>
      <xdr:rowOff>0</xdr:rowOff>
    </xdr:to>
    <xdr:pic>
      <xdr:nvPicPr>
        <xdr:cNvPr id="45" name="Obraz 1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71500" y="6848475"/>
          <a:ext cx="2038350" cy="1514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857250</xdr:colOff>
      <xdr:row>26</xdr:row>
      <xdr:rowOff>66675</xdr:rowOff>
    </xdr:from>
    <xdr:to>
      <xdr:col>0</xdr:col>
      <xdr:colOff>2381250</xdr:colOff>
      <xdr:row>33</xdr:row>
      <xdr:rowOff>180975</xdr:rowOff>
    </xdr:to>
    <xdr:pic>
      <xdr:nvPicPr>
        <xdr:cNvPr id="46" name="Obraz 2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57250" y="5267325"/>
          <a:ext cx="1524000" cy="146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161925</xdr:colOff>
      <xdr:row>0</xdr:row>
      <xdr:rowOff>95250</xdr:rowOff>
    </xdr:from>
    <xdr:to>
      <xdr:col>7</xdr:col>
      <xdr:colOff>790575</xdr:colOff>
      <xdr:row>1</xdr:row>
      <xdr:rowOff>19050</xdr:rowOff>
    </xdr:to>
    <xdr:sp macro="" textlink="">
      <xdr:nvSpPr>
        <xdr:cNvPr id="47" name="WordArt 9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72500" y="95250"/>
          <a:ext cx="1666875" cy="2857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endParaRPr lang="en-GB" sz="3600" u="sng" strike="sngStrike" kern="10" cap="small" spc="718">
            <a:ln w="9525">
              <a:noFill/>
              <a:round/>
              <a:headEnd/>
              <a:tailEnd/>
            </a:ln>
            <a:solidFill>
              <a:srgbClr val="808080"/>
            </a:solidFill>
            <a:latin typeface="Arial Black"/>
          </a:endParaRPr>
        </a:p>
      </xdr:txBody>
    </xdr:sp>
    <xdr:clientData/>
  </xdr:twoCellAnchor>
  <xdr:twoCellAnchor editAs="oneCell">
    <xdr:from>
      <xdr:col>0</xdr:col>
      <xdr:colOff>923925</xdr:colOff>
      <xdr:row>125</xdr:row>
      <xdr:rowOff>66675</xdr:rowOff>
    </xdr:from>
    <xdr:to>
      <xdr:col>0</xdr:col>
      <xdr:colOff>1790700</xdr:colOff>
      <xdr:row>131</xdr:row>
      <xdr:rowOff>104775</xdr:rowOff>
    </xdr:to>
    <xdr:pic>
      <xdr:nvPicPr>
        <xdr:cNvPr id="50" name="Picture 21" descr="Sample 01.jpg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23925" y="20793075"/>
          <a:ext cx="8667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923925</xdr:colOff>
      <xdr:row>135</xdr:row>
      <xdr:rowOff>47625</xdr:rowOff>
    </xdr:from>
    <xdr:to>
      <xdr:col>0</xdr:col>
      <xdr:colOff>1790700</xdr:colOff>
      <xdr:row>141</xdr:row>
      <xdr:rowOff>104775</xdr:rowOff>
    </xdr:to>
    <xdr:pic>
      <xdr:nvPicPr>
        <xdr:cNvPr id="51" name="Picture 22" descr="Sample 02.jpg"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23925" y="24117300"/>
          <a:ext cx="86677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125</xdr:row>
      <xdr:rowOff>66675</xdr:rowOff>
    </xdr:from>
    <xdr:to>
      <xdr:col>0</xdr:col>
      <xdr:colOff>895350</xdr:colOff>
      <xdr:row>131</xdr:row>
      <xdr:rowOff>104775</xdr:rowOff>
    </xdr:to>
    <xdr:pic>
      <xdr:nvPicPr>
        <xdr:cNvPr id="52" name="Picture 23" descr="Sample 03.jpg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8100" y="20793075"/>
          <a:ext cx="8572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1800225</xdr:colOff>
      <xdr:row>125</xdr:row>
      <xdr:rowOff>66675</xdr:rowOff>
    </xdr:from>
    <xdr:to>
      <xdr:col>0</xdr:col>
      <xdr:colOff>2667000</xdr:colOff>
      <xdr:row>131</xdr:row>
      <xdr:rowOff>104775</xdr:rowOff>
    </xdr:to>
    <xdr:pic>
      <xdr:nvPicPr>
        <xdr:cNvPr id="53" name="Picture 24" descr="Sample 04.jpg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800225" y="20793075"/>
          <a:ext cx="8667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135</xdr:row>
      <xdr:rowOff>47625</xdr:rowOff>
    </xdr:from>
    <xdr:to>
      <xdr:col>0</xdr:col>
      <xdr:colOff>895350</xdr:colOff>
      <xdr:row>141</xdr:row>
      <xdr:rowOff>104775</xdr:rowOff>
    </xdr:to>
    <xdr:pic>
      <xdr:nvPicPr>
        <xdr:cNvPr id="54" name="Picture 27" descr="Sample 06.jpg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8100" y="24117300"/>
          <a:ext cx="8572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2714625</xdr:colOff>
      <xdr:row>135</xdr:row>
      <xdr:rowOff>47625</xdr:rowOff>
    </xdr:from>
    <xdr:to>
      <xdr:col>0</xdr:col>
      <xdr:colOff>3571875</xdr:colOff>
      <xdr:row>141</xdr:row>
      <xdr:rowOff>104775</xdr:rowOff>
    </xdr:to>
    <xdr:pic>
      <xdr:nvPicPr>
        <xdr:cNvPr id="55" name="Picture 28" descr="Sample 07.jpg"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714625" y="24117300"/>
          <a:ext cx="8572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2695575</xdr:colOff>
      <xdr:row>125</xdr:row>
      <xdr:rowOff>66675</xdr:rowOff>
    </xdr:from>
    <xdr:to>
      <xdr:col>0</xdr:col>
      <xdr:colOff>3552825</xdr:colOff>
      <xdr:row>131</xdr:row>
      <xdr:rowOff>114300</xdr:rowOff>
    </xdr:to>
    <xdr:pic>
      <xdr:nvPicPr>
        <xdr:cNvPr id="56" name="Picture 29" descr="Sample 08.jpg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695575" y="20793075"/>
          <a:ext cx="8572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3590925</xdr:colOff>
      <xdr:row>135</xdr:row>
      <xdr:rowOff>47625</xdr:rowOff>
    </xdr:from>
    <xdr:to>
      <xdr:col>0</xdr:col>
      <xdr:colOff>4457700</xdr:colOff>
      <xdr:row>141</xdr:row>
      <xdr:rowOff>104775</xdr:rowOff>
    </xdr:to>
    <xdr:pic>
      <xdr:nvPicPr>
        <xdr:cNvPr id="57" name="Picture 30" descr="Sample 09.jpg"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590925" y="24117300"/>
          <a:ext cx="86677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1819275</xdr:colOff>
      <xdr:row>135</xdr:row>
      <xdr:rowOff>47625</xdr:rowOff>
    </xdr:from>
    <xdr:to>
      <xdr:col>0</xdr:col>
      <xdr:colOff>2676525</xdr:colOff>
      <xdr:row>141</xdr:row>
      <xdr:rowOff>104775</xdr:rowOff>
    </xdr:to>
    <xdr:pic>
      <xdr:nvPicPr>
        <xdr:cNvPr id="58" name="Picture 31" descr="Sample 10.jpg">
          <a:extLst>
            <a:ext uri="{FF2B5EF4-FFF2-40B4-BE49-F238E27FC236}">
              <a16:creationId xmlns:a16="http://schemas.microsoft.com/office/drawing/2014/main" id="{00000000-0008-0000-04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819275" y="24117300"/>
          <a:ext cx="8572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3581400</xdr:colOff>
      <xdr:row>125</xdr:row>
      <xdr:rowOff>66675</xdr:rowOff>
    </xdr:from>
    <xdr:to>
      <xdr:col>0</xdr:col>
      <xdr:colOff>4438650</xdr:colOff>
      <xdr:row>131</xdr:row>
      <xdr:rowOff>114300</xdr:rowOff>
    </xdr:to>
    <xdr:pic>
      <xdr:nvPicPr>
        <xdr:cNvPr id="59" name="Picture 32" descr="Sample 09.jpg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581400" y="20793075"/>
          <a:ext cx="8572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381000</xdr:colOff>
      <xdr:row>66</xdr:row>
      <xdr:rowOff>0</xdr:rowOff>
    </xdr:from>
    <xdr:to>
      <xdr:col>0</xdr:col>
      <xdr:colOff>1362075</xdr:colOff>
      <xdr:row>71</xdr:row>
      <xdr:rowOff>66675</xdr:rowOff>
    </xdr:to>
    <xdr:pic>
      <xdr:nvPicPr>
        <xdr:cNvPr id="60" name="Picture 1395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81000" y="11639550"/>
          <a:ext cx="98107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3076575</xdr:colOff>
      <xdr:row>90</xdr:row>
      <xdr:rowOff>9525</xdr:rowOff>
    </xdr:from>
    <xdr:to>
      <xdr:col>0</xdr:col>
      <xdr:colOff>4057650</xdr:colOff>
      <xdr:row>95</xdr:row>
      <xdr:rowOff>95250</xdr:rowOff>
    </xdr:to>
    <xdr:pic>
      <xdr:nvPicPr>
        <xdr:cNvPr id="61" name="Picture 1399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076575" y="14639925"/>
          <a:ext cx="98107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2943225</xdr:colOff>
      <xdr:row>65</xdr:row>
      <xdr:rowOff>142875</xdr:rowOff>
    </xdr:from>
    <xdr:to>
      <xdr:col>0</xdr:col>
      <xdr:colOff>3924300</xdr:colOff>
      <xdr:row>71</xdr:row>
      <xdr:rowOff>28575</xdr:rowOff>
    </xdr:to>
    <xdr:pic>
      <xdr:nvPicPr>
        <xdr:cNvPr id="62" name="Picture 1400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943225" y="11620500"/>
          <a:ext cx="98107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342900</xdr:colOff>
      <xdr:row>90</xdr:row>
      <xdr:rowOff>28575</xdr:rowOff>
    </xdr:from>
    <xdr:to>
      <xdr:col>0</xdr:col>
      <xdr:colOff>1323975</xdr:colOff>
      <xdr:row>95</xdr:row>
      <xdr:rowOff>104775</xdr:rowOff>
    </xdr:to>
    <xdr:pic>
      <xdr:nvPicPr>
        <xdr:cNvPr id="63" name="Picture 1401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42900" y="14658975"/>
          <a:ext cx="98107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1685925</xdr:colOff>
      <xdr:row>90</xdr:row>
      <xdr:rowOff>9525</xdr:rowOff>
    </xdr:from>
    <xdr:to>
      <xdr:col>0</xdr:col>
      <xdr:colOff>2667000</xdr:colOff>
      <xdr:row>95</xdr:row>
      <xdr:rowOff>95250</xdr:rowOff>
    </xdr:to>
    <xdr:pic>
      <xdr:nvPicPr>
        <xdr:cNvPr id="64" name="Picture 1402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685925" y="14639925"/>
          <a:ext cx="98107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1609725</xdr:colOff>
      <xdr:row>65</xdr:row>
      <xdr:rowOff>152400</xdr:rowOff>
    </xdr:from>
    <xdr:to>
      <xdr:col>0</xdr:col>
      <xdr:colOff>2590800</xdr:colOff>
      <xdr:row>71</xdr:row>
      <xdr:rowOff>0</xdr:rowOff>
    </xdr:to>
    <xdr:pic>
      <xdr:nvPicPr>
        <xdr:cNvPr id="65" name="Picture 1397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609725" y="11630025"/>
          <a:ext cx="9810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314325</xdr:colOff>
      <xdr:row>98</xdr:row>
      <xdr:rowOff>76200</xdr:rowOff>
    </xdr:from>
    <xdr:to>
      <xdr:col>0</xdr:col>
      <xdr:colOff>1295400</xdr:colOff>
      <xdr:row>103</xdr:row>
      <xdr:rowOff>152400</xdr:rowOff>
    </xdr:to>
    <xdr:pic>
      <xdr:nvPicPr>
        <xdr:cNvPr id="66" name="Picture 1403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314325" y="16106775"/>
          <a:ext cx="98107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1638300</xdr:colOff>
      <xdr:row>98</xdr:row>
      <xdr:rowOff>76200</xdr:rowOff>
    </xdr:from>
    <xdr:to>
      <xdr:col>0</xdr:col>
      <xdr:colOff>2619375</xdr:colOff>
      <xdr:row>104</xdr:row>
      <xdr:rowOff>0</xdr:rowOff>
    </xdr:to>
    <xdr:pic>
      <xdr:nvPicPr>
        <xdr:cNvPr id="67" name="Picture 1404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638300" y="16106775"/>
          <a:ext cx="98107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3038475</xdr:colOff>
      <xdr:row>98</xdr:row>
      <xdr:rowOff>85725</xdr:rowOff>
    </xdr:from>
    <xdr:to>
      <xdr:col>0</xdr:col>
      <xdr:colOff>4019550</xdr:colOff>
      <xdr:row>104</xdr:row>
      <xdr:rowOff>0</xdr:rowOff>
    </xdr:to>
    <xdr:pic>
      <xdr:nvPicPr>
        <xdr:cNvPr id="68" name="Picture 1405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3038475" y="16116300"/>
          <a:ext cx="98107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107</xdr:row>
      <xdr:rowOff>104775</xdr:rowOff>
    </xdr:from>
    <xdr:to>
      <xdr:col>0</xdr:col>
      <xdr:colOff>1285875</xdr:colOff>
      <xdr:row>113</xdr:row>
      <xdr:rowOff>28575</xdr:rowOff>
    </xdr:to>
    <xdr:pic>
      <xdr:nvPicPr>
        <xdr:cNvPr id="69" name="Picture 1406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304800" y="17697450"/>
          <a:ext cx="98107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1638300</xdr:colOff>
      <xdr:row>107</xdr:row>
      <xdr:rowOff>104775</xdr:rowOff>
    </xdr:from>
    <xdr:to>
      <xdr:col>0</xdr:col>
      <xdr:colOff>2619375</xdr:colOff>
      <xdr:row>113</xdr:row>
      <xdr:rowOff>9525</xdr:rowOff>
    </xdr:to>
    <xdr:pic>
      <xdr:nvPicPr>
        <xdr:cNvPr id="70" name="Picture 1407"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638300" y="17697450"/>
          <a:ext cx="98107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2981325</xdr:colOff>
      <xdr:row>107</xdr:row>
      <xdr:rowOff>85725</xdr:rowOff>
    </xdr:from>
    <xdr:to>
      <xdr:col>0</xdr:col>
      <xdr:colOff>3962400</xdr:colOff>
      <xdr:row>113</xdr:row>
      <xdr:rowOff>0</xdr:rowOff>
    </xdr:to>
    <xdr:pic>
      <xdr:nvPicPr>
        <xdr:cNvPr id="71" name="Picture 1409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981325" y="17678400"/>
          <a:ext cx="98107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1647825</xdr:colOff>
      <xdr:row>117</xdr:row>
      <xdr:rowOff>0</xdr:rowOff>
    </xdr:from>
    <xdr:to>
      <xdr:col>0</xdr:col>
      <xdr:colOff>2628900</xdr:colOff>
      <xdr:row>122</xdr:row>
      <xdr:rowOff>85725</xdr:rowOff>
    </xdr:to>
    <xdr:pic>
      <xdr:nvPicPr>
        <xdr:cNvPr id="72" name="Picture 1412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647825" y="19316700"/>
          <a:ext cx="98107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2933700</xdr:colOff>
      <xdr:row>117</xdr:row>
      <xdr:rowOff>0</xdr:rowOff>
    </xdr:from>
    <xdr:to>
      <xdr:col>0</xdr:col>
      <xdr:colOff>3952875</xdr:colOff>
      <xdr:row>122</xdr:row>
      <xdr:rowOff>95250</xdr:rowOff>
    </xdr:to>
    <xdr:pic>
      <xdr:nvPicPr>
        <xdr:cNvPr id="73" name="Picture 1413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933700" y="19316700"/>
          <a:ext cx="101917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117</xdr:row>
      <xdr:rowOff>0</xdr:rowOff>
    </xdr:from>
    <xdr:to>
      <xdr:col>0</xdr:col>
      <xdr:colOff>1238250</xdr:colOff>
      <xdr:row>122</xdr:row>
      <xdr:rowOff>85725</xdr:rowOff>
    </xdr:to>
    <xdr:pic>
      <xdr:nvPicPr>
        <xdr:cNvPr id="74" name="Picture 1415">
          <a:extLst>
            <a:ext uri="{FF2B5EF4-FFF2-40B4-BE49-F238E27FC236}">
              <a16:creationId xmlns:a16="http://schemas.microsoft.com/office/drawing/2014/main" id="{00000000-0008-0000-04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57175" y="19316700"/>
          <a:ext cx="98107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161925</xdr:colOff>
      <xdr:row>82</xdr:row>
      <xdr:rowOff>95250</xdr:rowOff>
    </xdr:from>
    <xdr:to>
      <xdr:col>7</xdr:col>
      <xdr:colOff>790575</xdr:colOff>
      <xdr:row>83</xdr:row>
      <xdr:rowOff>19050</xdr:rowOff>
    </xdr:to>
    <xdr:sp macro="" textlink="">
      <xdr:nvSpPr>
        <xdr:cNvPr id="75" name="WordArt 9">
          <a:extLst>
            <a:ext uri="{FF2B5EF4-FFF2-40B4-BE49-F238E27FC236}">
              <a16:creationId xmlns:a16="http://schemas.microsoft.com/office/drawing/2014/main" id="{00000000-0008-0000-0400-00004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72500" y="12982575"/>
          <a:ext cx="1666875" cy="2857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endParaRPr lang="en-GB" sz="3600" u="sng" strike="sngStrike" kern="10" cap="small" spc="718">
            <a:ln w="9525">
              <a:noFill/>
              <a:round/>
              <a:headEnd/>
              <a:tailEnd/>
            </a:ln>
            <a:solidFill>
              <a:srgbClr val="808080"/>
            </a:solidFill>
            <a:latin typeface="Arial Black"/>
          </a:endParaRPr>
        </a:p>
      </xdr:txBody>
    </xdr:sp>
    <xdr:clientData/>
  </xdr:twoCellAnchor>
  <xdr:twoCellAnchor>
    <xdr:from>
      <xdr:col>5</xdr:col>
      <xdr:colOff>161925</xdr:colOff>
      <xdr:row>145</xdr:row>
      <xdr:rowOff>95250</xdr:rowOff>
    </xdr:from>
    <xdr:to>
      <xdr:col>7</xdr:col>
      <xdr:colOff>790575</xdr:colOff>
      <xdr:row>146</xdr:row>
      <xdr:rowOff>0</xdr:rowOff>
    </xdr:to>
    <xdr:sp macro="" textlink="">
      <xdr:nvSpPr>
        <xdr:cNvPr id="83" name="WordArt 9">
          <a:extLst>
            <a:ext uri="{FF2B5EF4-FFF2-40B4-BE49-F238E27FC236}">
              <a16:creationId xmlns:a16="http://schemas.microsoft.com/office/drawing/2014/main" id="{00000000-0008-0000-0400-00005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75675" y="14954250"/>
          <a:ext cx="1654175" cy="28892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endParaRPr lang="en-GB" sz="3600" u="sng" strike="sngStrike" kern="10" cap="small" spc="718">
            <a:ln w="9525">
              <a:noFill/>
              <a:round/>
              <a:headEnd/>
              <a:tailEnd/>
            </a:ln>
            <a:solidFill>
              <a:srgbClr val="808080"/>
            </a:solidFill>
            <a:latin typeface="Arial Black"/>
          </a:endParaRPr>
        </a:p>
      </xdr:txBody>
    </xdr:sp>
    <xdr:clientData/>
  </xdr:twoCellAnchor>
  <xdr:twoCellAnchor editAs="oneCell">
    <xdr:from>
      <xdr:col>0</xdr:col>
      <xdr:colOff>2762246</xdr:colOff>
      <xdr:row>150</xdr:row>
      <xdr:rowOff>95215</xdr:rowOff>
    </xdr:from>
    <xdr:to>
      <xdr:col>0</xdr:col>
      <xdr:colOff>4266234</xdr:colOff>
      <xdr:row>177</xdr:row>
      <xdr:rowOff>151137</xdr:rowOff>
    </xdr:to>
    <xdr:pic>
      <xdr:nvPicPr>
        <xdr:cNvPr id="116" name="Picture 115" descr="LU-11z V.jpg">
          <a:extLst>
            <a:ext uri="{FF2B5EF4-FFF2-40B4-BE49-F238E27FC236}">
              <a16:creationId xmlns:a16="http://schemas.microsoft.com/office/drawing/2014/main" id="{00000000-0008-0000-04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2762246" y="27250990"/>
          <a:ext cx="1503988" cy="4446947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161</xdr:row>
      <xdr:rowOff>19050</xdr:rowOff>
    </xdr:from>
    <xdr:to>
      <xdr:col>0</xdr:col>
      <xdr:colOff>2636393</xdr:colOff>
      <xdr:row>166</xdr:row>
      <xdr:rowOff>80645</xdr:rowOff>
    </xdr:to>
    <xdr:pic>
      <xdr:nvPicPr>
        <xdr:cNvPr id="117" name="Picture 116" descr="LU11.jpg">
          <a:extLst>
            <a:ext uri="{FF2B5EF4-FFF2-40B4-BE49-F238E27FC236}">
              <a16:creationId xmlns:a16="http://schemas.microsoft.com/office/drawing/2014/main" id="{00000000-0008-0000-04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180975" y="28965525"/>
          <a:ext cx="2455418" cy="871220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150</xdr:row>
      <xdr:rowOff>152400</xdr:rowOff>
    </xdr:from>
    <xdr:to>
      <xdr:col>0</xdr:col>
      <xdr:colOff>2492375</xdr:colOff>
      <xdr:row>158</xdr:row>
      <xdr:rowOff>55372</xdr:rowOff>
    </xdr:to>
    <xdr:pic>
      <xdr:nvPicPr>
        <xdr:cNvPr id="118" name="Picture 117" descr="LU9.jpg">
          <a:extLst>
            <a:ext uri="{FF2B5EF4-FFF2-40B4-BE49-F238E27FC236}">
              <a16:creationId xmlns:a16="http://schemas.microsoft.com/office/drawing/2014/main" id="{00000000-0008-0000-04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80975" y="27308175"/>
          <a:ext cx="2311400" cy="1198372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170</xdr:row>
      <xdr:rowOff>38100</xdr:rowOff>
    </xdr:from>
    <xdr:to>
      <xdr:col>0</xdr:col>
      <xdr:colOff>2701290</xdr:colOff>
      <xdr:row>177</xdr:row>
      <xdr:rowOff>136017</xdr:rowOff>
    </xdr:to>
    <xdr:pic>
      <xdr:nvPicPr>
        <xdr:cNvPr id="119" name="Picture 118" descr="LU15.jpg">
          <a:extLst>
            <a:ext uri="{FF2B5EF4-FFF2-40B4-BE49-F238E27FC236}">
              <a16:creationId xmlns:a16="http://schemas.microsoft.com/office/drawing/2014/main" id="{00000000-0008-0000-04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33350" y="30451425"/>
          <a:ext cx="2567940" cy="1231392"/>
        </a:xfrm>
        <a:prstGeom prst="rect">
          <a:avLst/>
        </a:prstGeom>
      </xdr:spPr>
    </xdr:pic>
    <xdr:clientData/>
  </xdr:twoCellAnchor>
  <xdr:twoCellAnchor>
    <xdr:from>
      <xdr:col>1</xdr:col>
      <xdr:colOff>1828800</xdr:colOff>
      <xdr:row>0</xdr:row>
      <xdr:rowOff>276225</xdr:rowOff>
    </xdr:from>
    <xdr:to>
      <xdr:col>3</xdr:col>
      <xdr:colOff>352425</xdr:colOff>
      <xdr:row>1</xdr:row>
      <xdr:rowOff>828675</xdr:rowOff>
    </xdr:to>
    <xdr:pic>
      <xdr:nvPicPr>
        <xdr:cNvPr id="120" name="Obraz 47">
          <a:extLst>
            <a:ext uri="{FF2B5EF4-FFF2-40B4-BE49-F238E27FC236}">
              <a16:creationId xmlns:a16="http://schemas.microsoft.com/office/drawing/2014/main" id="{00000000-0008-0000-04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6305550" y="276225"/>
          <a:ext cx="1181100" cy="9144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1609725</xdr:colOff>
      <xdr:row>82</xdr:row>
      <xdr:rowOff>209550</xdr:rowOff>
    </xdr:from>
    <xdr:to>
      <xdr:col>3</xdr:col>
      <xdr:colOff>555625</xdr:colOff>
      <xdr:row>84</xdr:row>
      <xdr:rowOff>95250</xdr:rowOff>
    </xdr:to>
    <xdr:sp macro="" textlink="">
      <xdr:nvSpPr>
        <xdr:cNvPr id="122" name="AutoShape 1">
          <a:extLst>
            <a:ext uri="{FF2B5EF4-FFF2-40B4-BE49-F238E27FC236}">
              <a16:creationId xmlns:a16="http://schemas.microsoft.com/office/drawing/2014/main" id="{00000000-0008-0000-0400-00007A000000}"/>
            </a:ext>
          </a:extLst>
        </xdr:cNvPr>
        <xdr:cNvSpPr>
          <a:spLocks noChangeArrowheads="1"/>
        </xdr:cNvSpPr>
      </xdr:nvSpPr>
      <xdr:spPr bwMode="auto">
        <a:xfrm>
          <a:off x="6086475" y="14782800"/>
          <a:ext cx="1603375" cy="114300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/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/>
        <a:lstStyle/>
        <a:p>
          <a:endParaRPr lang="en-GB"/>
        </a:p>
      </xdr:txBody>
    </xdr:sp>
    <xdr:clientData/>
  </xdr:twoCellAnchor>
  <xdr:twoCellAnchor>
    <xdr:from>
      <xdr:col>1</xdr:col>
      <xdr:colOff>1819275</xdr:colOff>
      <xdr:row>82</xdr:row>
      <xdr:rowOff>314325</xdr:rowOff>
    </xdr:from>
    <xdr:to>
      <xdr:col>3</xdr:col>
      <xdr:colOff>342900</xdr:colOff>
      <xdr:row>83</xdr:row>
      <xdr:rowOff>866775</xdr:rowOff>
    </xdr:to>
    <xdr:pic>
      <xdr:nvPicPr>
        <xdr:cNvPr id="123" name="Obraz 47">
          <a:extLst>
            <a:ext uri="{FF2B5EF4-FFF2-40B4-BE49-F238E27FC236}">
              <a16:creationId xmlns:a16="http://schemas.microsoft.com/office/drawing/2014/main" id="{00000000-0008-0000-04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6296025" y="14887575"/>
          <a:ext cx="1181100" cy="9144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1866900</xdr:colOff>
      <xdr:row>144</xdr:row>
      <xdr:rowOff>333375</xdr:rowOff>
    </xdr:from>
    <xdr:to>
      <xdr:col>3</xdr:col>
      <xdr:colOff>390525</xdr:colOff>
      <xdr:row>145</xdr:row>
      <xdr:rowOff>885825</xdr:rowOff>
    </xdr:to>
    <xdr:pic>
      <xdr:nvPicPr>
        <xdr:cNvPr id="124" name="Obraz 47">
          <a:extLst>
            <a:ext uri="{FF2B5EF4-FFF2-40B4-BE49-F238E27FC236}">
              <a16:creationId xmlns:a16="http://schemas.microsoft.com/office/drawing/2014/main" id="{00000000-0008-0000-04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6343650" y="25869900"/>
          <a:ext cx="1181100" cy="9144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P110"/>
  <sheetViews>
    <sheetView showGridLines="0" showRowColHeaders="0" tabSelected="1" zoomScale="85" zoomScaleNormal="85" workbookViewId="0">
      <pane xSplit="1" topLeftCell="B1" activePane="topRight" state="frozen"/>
      <selection pane="topRight" activeCell="C31" sqref="C31"/>
    </sheetView>
  </sheetViews>
  <sheetFormatPr defaultColWidth="9.109375" defaultRowHeight="14.4" x14ac:dyDescent="0.3"/>
  <cols>
    <col min="1" max="1" width="33.109375" style="1" customWidth="1"/>
    <col min="2" max="2" width="10.33203125" style="24" customWidth="1"/>
    <col min="3" max="22" width="15.6640625" style="24" customWidth="1"/>
    <col min="23" max="23" width="9.109375" style="1" customWidth="1"/>
    <col min="24" max="27" width="9.109375" style="1" hidden="1" customWidth="1"/>
    <col min="28" max="28" width="16.44140625" style="1" hidden="1" customWidth="1"/>
    <col min="29" max="30" width="15.88671875" style="1" hidden="1" customWidth="1"/>
    <col min="31" max="31" width="16.44140625" style="1" hidden="1" customWidth="1"/>
    <col min="32" max="33" width="15.88671875" style="1" hidden="1" customWidth="1"/>
    <col min="34" max="34" width="15.33203125" style="1" hidden="1" customWidth="1"/>
    <col min="35" max="35" width="15.88671875" style="1" hidden="1" customWidth="1"/>
    <col min="36" max="36" width="19.88671875" style="1" hidden="1" customWidth="1"/>
    <col min="37" max="37" width="16.109375" style="1" hidden="1" customWidth="1"/>
    <col min="38" max="38" width="14.33203125" style="1" hidden="1" customWidth="1"/>
    <col min="39" max="39" width="19.88671875" style="25" hidden="1" customWidth="1"/>
    <col min="40" max="40" width="15.33203125" style="25" hidden="1" customWidth="1"/>
    <col min="41" max="41" width="18.33203125" style="1" hidden="1" customWidth="1"/>
    <col min="42" max="42" width="17.88671875" style="1" hidden="1" customWidth="1"/>
    <col min="43" max="45" width="9.109375" style="1" customWidth="1"/>
    <col min="46" max="16384" width="9.109375" style="1"/>
  </cols>
  <sheetData>
    <row r="1" spans="1:42" ht="24.75" customHeight="1" x14ac:dyDescent="0.3">
      <c r="A1" s="120" t="s">
        <v>147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</row>
    <row r="2" spans="1:42" ht="63" customHeight="1" x14ac:dyDescent="0.3">
      <c r="A2" s="121" t="s">
        <v>220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</row>
    <row r="3" spans="1:42" ht="15.75" customHeight="1" x14ac:dyDescent="0.3">
      <c r="AB3" s="26" t="s">
        <v>0</v>
      </c>
      <c r="AC3" s="26" t="s">
        <v>1</v>
      </c>
      <c r="AD3" s="26" t="s">
        <v>2</v>
      </c>
      <c r="AE3" s="26" t="s">
        <v>3</v>
      </c>
      <c r="AF3" s="26" t="s">
        <v>4</v>
      </c>
      <c r="AG3" s="26" t="s">
        <v>5</v>
      </c>
      <c r="AH3" s="26" t="s">
        <v>169</v>
      </c>
    </row>
    <row r="4" spans="1:42" x14ac:dyDescent="0.3">
      <c r="A4" s="27" t="s">
        <v>6</v>
      </c>
      <c r="B4" s="28"/>
      <c r="C4" s="28">
        <v>1</v>
      </c>
      <c r="D4" s="28">
        <v>2</v>
      </c>
      <c r="E4" s="28">
        <v>3</v>
      </c>
      <c r="F4" s="28">
        <v>4</v>
      </c>
      <c r="G4" s="28">
        <v>5</v>
      </c>
      <c r="H4" s="28">
        <v>6</v>
      </c>
      <c r="I4" s="28">
        <v>7</v>
      </c>
      <c r="J4" s="28">
        <v>8</v>
      </c>
      <c r="K4" s="28">
        <v>9</v>
      </c>
      <c r="L4" s="28">
        <v>10</v>
      </c>
      <c r="M4" s="28">
        <v>11</v>
      </c>
      <c r="N4" s="28">
        <v>12</v>
      </c>
      <c r="O4" s="28">
        <v>13</v>
      </c>
      <c r="P4" s="28">
        <v>14</v>
      </c>
      <c r="Q4" s="28">
        <v>15</v>
      </c>
      <c r="R4" s="28">
        <v>16</v>
      </c>
      <c r="S4" s="28">
        <v>17</v>
      </c>
      <c r="T4" s="28">
        <v>18</v>
      </c>
      <c r="U4" s="28">
        <v>19</v>
      </c>
      <c r="V4" s="28">
        <v>20</v>
      </c>
      <c r="AB4" s="26" t="s">
        <v>132</v>
      </c>
      <c r="AC4" s="26" t="s">
        <v>137</v>
      </c>
      <c r="AD4" s="26" t="s">
        <v>263</v>
      </c>
      <c r="AE4" s="26" t="s">
        <v>139</v>
      </c>
      <c r="AF4" s="26" t="s">
        <v>143</v>
      </c>
      <c r="AG4" s="26" t="s">
        <v>145</v>
      </c>
      <c r="AH4" s="26" t="s">
        <v>146</v>
      </c>
    </row>
    <row r="5" spans="1:42" x14ac:dyDescent="0.3">
      <c r="A5" s="29"/>
      <c r="B5" s="30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AB5" s="26" t="s">
        <v>133</v>
      </c>
      <c r="AC5" s="26" t="s">
        <v>138</v>
      </c>
      <c r="AD5" s="26" t="s">
        <v>261</v>
      </c>
      <c r="AE5" s="26" t="s">
        <v>140</v>
      </c>
      <c r="AF5" s="26" t="s">
        <v>144</v>
      </c>
      <c r="AG5" s="26"/>
      <c r="AH5" s="26"/>
    </row>
    <row r="6" spans="1:42" x14ac:dyDescent="0.3">
      <c r="A6" s="32" t="s">
        <v>259</v>
      </c>
      <c r="B6" s="72" t="s">
        <v>9</v>
      </c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AB6" s="26" t="s">
        <v>134</v>
      </c>
      <c r="AC6" s="26"/>
      <c r="AD6" s="26"/>
      <c r="AE6" s="26" t="s">
        <v>262</v>
      </c>
      <c r="AF6" s="26"/>
      <c r="AG6" s="26"/>
      <c r="AH6" s="26"/>
    </row>
    <row r="7" spans="1:42" x14ac:dyDescent="0.3">
      <c r="A7" s="32" t="s">
        <v>260</v>
      </c>
      <c r="B7" s="72" t="s">
        <v>9</v>
      </c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AB7" s="26" t="s">
        <v>135</v>
      </c>
      <c r="AC7" s="26"/>
      <c r="AD7" s="26"/>
      <c r="AE7" s="26" t="s">
        <v>141</v>
      </c>
      <c r="AF7" s="26"/>
      <c r="AG7" s="26"/>
      <c r="AH7" s="26"/>
    </row>
    <row r="8" spans="1:42" x14ac:dyDescent="0.3">
      <c r="A8" s="32"/>
      <c r="B8" s="72"/>
      <c r="C8" s="33" t="str">
        <f>IF(OR(C6&gt;2580,C7&gt;1580),"OVERSIZE!","")</f>
        <v/>
      </c>
      <c r="D8" s="33" t="str">
        <f t="shared" ref="D8:V8" si="0">IF(OR(D6&gt;2580,D7&gt;1580),"OVERSIZE!","")</f>
        <v/>
      </c>
      <c r="E8" s="33" t="str">
        <f t="shared" si="0"/>
        <v/>
      </c>
      <c r="F8" s="33" t="str">
        <f t="shared" si="0"/>
        <v/>
      </c>
      <c r="G8" s="33" t="str">
        <f t="shared" si="0"/>
        <v/>
      </c>
      <c r="H8" s="33" t="str">
        <f t="shared" si="0"/>
        <v/>
      </c>
      <c r="I8" s="33" t="str">
        <f t="shared" si="0"/>
        <v/>
      </c>
      <c r="J8" s="33" t="str">
        <f t="shared" si="0"/>
        <v/>
      </c>
      <c r="K8" s="33" t="str">
        <f t="shared" si="0"/>
        <v/>
      </c>
      <c r="L8" s="33" t="str">
        <f t="shared" si="0"/>
        <v/>
      </c>
      <c r="M8" s="33" t="str">
        <f t="shared" si="0"/>
        <v/>
      </c>
      <c r="N8" s="33" t="str">
        <f t="shared" si="0"/>
        <v/>
      </c>
      <c r="O8" s="33" t="str">
        <f t="shared" si="0"/>
        <v/>
      </c>
      <c r="P8" s="33" t="str">
        <f t="shared" si="0"/>
        <v/>
      </c>
      <c r="Q8" s="33" t="str">
        <f t="shared" si="0"/>
        <v/>
      </c>
      <c r="R8" s="33" t="str">
        <f t="shared" si="0"/>
        <v/>
      </c>
      <c r="S8" s="33" t="str">
        <f t="shared" si="0"/>
        <v/>
      </c>
      <c r="T8" s="33" t="str">
        <f t="shared" si="0"/>
        <v/>
      </c>
      <c r="U8" s="33" t="str">
        <f t="shared" si="0"/>
        <v/>
      </c>
      <c r="V8" s="33" t="str">
        <f t="shared" si="0"/>
        <v/>
      </c>
      <c r="AB8" s="26" t="s">
        <v>136</v>
      </c>
      <c r="AC8" s="26"/>
      <c r="AD8" s="26"/>
      <c r="AE8" s="26" t="s">
        <v>142</v>
      </c>
      <c r="AF8" s="26"/>
      <c r="AG8" s="26"/>
      <c r="AH8" s="26"/>
    </row>
    <row r="9" spans="1:42" x14ac:dyDescent="0.3">
      <c r="A9" s="32" t="s">
        <v>11</v>
      </c>
      <c r="B9" s="72"/>
      <c r="C9" s="59"/>
      <c r="D9" s="59"/>
      <c r="E9" s="59"/>
      <c r="F9" s="59"/>
      <c r="G9" s="59"/>
      <c r="H9" s="59"/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AB9" s="34"/>
      <c r="AC9" s="34"/>
      <c r="AD9" s="34"/>
      <c r="AE9" s="34"/>
      <c r="AF9" s="34"/>
      <c r="AG9" s="34"/>
      <c r="AH9" s="34"/>
    </row>
    <row r="10" spans="1:42" x14ac:dyDescent="0.3">
      <c r="A10" s="32" t="s">
        <v>12</v>
      </c>
      <c r="B10" s="72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AB10" s="26" t="s">
        <v>13</v>
      </c>
      <c r="AC10" s="26" t="s">
        <v>14</v>
      </c>
      <c r="AD10" s="36" t="s">
        <v>15</v>
      </c>
      <c r="AE10" s="26" t="s">
        <v>16</v>
      </c>
      <c r="AF10" s="26" t="s">
        <v>17</v>
      </c>
    </row>
    <row r="11" spans="1:42" ht="15" customHeight="1" x14ac:dyDescent="0.3">
      <c r="A11" s="32"/>
      <c r="B11" s="72"/>
      <c r="C11" s="56" t="str">
        <f>IF(AND(C9="Yes",C10=0),"CHOOSE NUMBER","")</f>
        <v/>
      </c>
      <c r="D11" s="56" t="str">
        <f>IF(AND(D9="Yes",D10=0),"CHOOSE NUMBER","")</f>
        <v/>
      </c>
      <c r="E11" s="56" t="str">
        <f>IF(AND(E9="Yes",E10=0),"CHOOSE NUMBER","")</f>
        <v/>
      </c>
      <c r="F11" s="56" t="str">
        <f t="shared" ref="F11:V11" si="1">IF(AND(F9="Yes",F10=0),"CHOOSE NUMBER","")</f>
        <v/>
      </c>
      <c r="G11" s="56" t="str">
        <f t="shared" si="1"/>
        <v/>
      </c>
      <c r="H11" s="56" t="str">
        <f t="shared" si="1"/>
        <v/>
      </c>
      <c r="I11" s="56" t="str">
        <f t="shared" si="1"/>
        <v/>
      </c>
      <c r="J11" s="56" t="str">
        <f t="shared" si="1"/>
        <v/>
      </c>
      <c r="K11" s="56" t="str">
        <f t="shared" si="1"/>
        <v/>
      </c>
      <c r="L11" s="56" t="str">
        <f t="shared" si="1"/>
        <v/>
      </c>
      <c r="M11" s="56" t="str">
        <f t="shared" si="1"/>
        <v/>
      </c>
      <c r="N11" s="56" t="str">
        <f t="shared" si="1"/>
        <v/>
      </c>
      <c r="O11" s="56" t="str">
        <f t="shared" si="1"/>
        <v/>
      </c>
      <c r="P11" s="56" t="str">
        <f t="shared" si="1"/>
        <v/>
      </c>
      <c r="Q11" s="56" t="str">
        <f t="shared" si="1"/>
        <v/>
      </c>
      <c r="R11" s="56" t="str">
        <f t="shared" si="1"/>
        <v/>
      </c>
      <c r="S11" s="56" t="str">
        <f t="shared" si="1"/>
        <v/>
      </c>
      <c r="T11" s="56" t="str">
        <f t="shared" si="1"/>
        <v/>
      </c>
      <c r="U11" s="56" t="str">
        <f t="shared" si="1"/>
        <v/>
      </c>
      <c r="V11" s="56" t="str">
        <f t="shared" si="1"/>
        <v/>
      </c>
      <c r="AB11" s="36">
        <v>1</v>
      </c>
      <c r="AC11" s="26"/>
      <c r="AD11" s="36" t="s">
        <v>19</v>
      </c>
      <c r="AE11" s="26" t="s">
        <v>19</v>
      </c>
    </row>
    <row r="12" spans="1:42" x14ac:dyDescent="0.3">
      <c r="A12" s="32" t="s">
        <v>20</v>
      </c>
      <c r="B12" s="72"/>
      <c r="C12" s="106"/>
      <c r="D12" s="106"/>
      <c r="E12" s="106"/>
      <c r="F12" s="106"/>
      <c r="G12" s="106"/>
      <c r="H12" s="106"/>
      <c r="I12" s="106"/>
      <c r="J12" s="106"/>
      <c r="K12" s="106"/>
      <c r="L12" s="106"/>
      <c r="M12" s="106"/>
      <c r="N12" s="106"/>
      <c r="O12" s="61"/>
      <c r="P12" s="61"/>
      <c r="Q12" s="61"/>
      <c r="R12" s="61"/>
      <c r="S12" s="61"/>
      <c r="T12" s="61"/>
      <c r="U12" s="61"/>
      <c r="V12" s="61"/>
      <c r="AB12" s="36">
        <v>2</v>
      </c>
      <c r="AD12" s="36" t="s">
        <v>21</v>
      </c>
      <c r="AE12" s="26" t="s">
        <v>21</v>
      </c>
    </row>
    <row r="13" spans="1:42" ht="28.5" customHeight="1" x14ac:dyDescent="0.3">
      <c r="A13" s="32" t="s">
        <v>22</v>
      </c>
      <c r="B13" s="39"/>
      <c r="C13" s="107"/>
      <c r="D13" s="107"/>
      <c r="E13" s="107"/>
      <c r="F13" s="107"/>
      <c r="G13" s="107"/>
      <c r="H13" s="107"/>
      <c r="I13" s="107"/>
      <c r="J13" s="107"/>
      <c r="K13" s="107"/>
      <c r="L13" s="107"/>
      <c r="M13" s="107"/>
      <c r="N13" s="107"/>
      <c r="O13" s="61"/>
      <c r="P13" s="61"/>
      <c r="Q13" s="61"/>
      <c r="R13" s="61"/>
      <c r="S13" s="61"/>
      <c r="T13" s="61"/>
      <c r="U13" s="61"/>
      <c r="V13" s="61"/>
      <c r="AB13" s="36"/>
      <c r="AC13" s="37"/>
      <c r="AD13" s="38" t="s">
        <v>19</v>
      </c>
      <c r="AE13" s="38" t="s">
        <v>21</v>
      </c>
      <c r="AF13" s="37"/>
      <c r="AG13" s="37"/>
      <c r="AH13" s="37"/>
      <c r="AI13" s="37"/>
      <c r="AJ13" s="37"/>
      <c r="AK13" s="37"/>
      <c r="AL13" s="37"/>
    </row>
    <row r="14" spans="1:42" ht="15" customHeight="1" x14ac:dyDescent="0.3">
      <c r="A14" s="32"/>
      <c r="B14" s="72"/>
      <c r="C14" s="105" t="str">
        <f>IF(AND(C12&gt;0,C13=""),"COLOUR REQ'D","")</f>
        <v/>
      </c>
      <c r="D14" s="105" t="str">
        <f t="shared" ref="D14:V14" si="2">IF(AND(D12&gt;0,D13=""),"COLOUR REQ'D","")</f>
        <v/>
      </c>
      <c r="E14" s="69" t="str">
        <f t="shared" si="2"/>
        <v/>
      </c>
      <c r="F14" s="69" t="str">
        <f t="shared" si="2"/>
        <v/>
      </c>
      <c r="G14" s="69" t="str">
        <f t="shared" si="2"/>
        <v/>
      </c>
      <c r="H14" s="69" t="str">
        <f t="shared" si="2"/>
        <v/>
      </c>
      <c r="I14" s="69" t="str">
        <f t="shared" si="2"/>
        <v/>
      </c>
      <c r="J14" s="69" t="str">
        <f t="shared" si="2"/>
        <v/>
      </c>
      <c r="K14" s="69" t="str">
        <f t="shared" si="2"/>
        <v/>
      </c>
      <c r="L14" s="69" t="str">
        <f t="shared" si="2"/>
        <v/>
      </c>
      <c r="M14" s="69" t="str">
        <f t="shared" si="2"/>
        <v/>
      </c>
      <c r="N14" s="69" t="str">
        <f t="shared" si="2"/>
        <v/>
      </c>
      <c r="O14" s="69" t="str">
        <f t="shared" si="2"/>
        <v/>
      </c>
      <c r="P14" s="69" t="str">
        <f t="shared" si="2"/>
        <v/>
      </c>
      <c r="Q14" s="69" t="str">
        <f t="shared" si="2"/>
        <v/>
      </c>
      <c r="R14" s="69" t="str">
        <f t="shared" si="2"/>
        <v/>
      </c>
      <c r="S14" s="69" t="str">
        <f t="shared" si="2"/>
        <v/>
      </c>
      <c r="T14" s="69" t="str">
        <f t="shared" si="2"/>
        <v/>
      </c>
      <c r="U14" s="69" t="str">
        <f t="shared" si="2"/>
        <v/>
      </c>
      <c r="V14" s="69" t="str">
        <f t="shared" si="2"/>
        <v/>
      </c>
      <c r="Y14" s="34"/>
      <c r="AB14" s="40" t="s">
        <v>251</v>
      </c>
      <c r="AC14" s="40" t="s">
        <v>24</v>
      </c>
      <c r="AD14" s="40" t="s">
        <v>25</v>
      </c>
      <c r="AE14" s="40" t="s">
        <v>26</v>
      </c>
      <c r="AF14" s="41" t="s">
        <v>27</v>
      </c>
      <c r="AG14" s="41" t="s">
        <v>28</v>
      </c>
      <c r="AH14" s="40" t="s">
        <v>29</v>
      </c>
      <c r="AI14" s="40" t="s">
        <v>30</v>
      </c>
      <c r="AJ14" s="40" t="s">
        <v>31</v>
      </c>
      <c r="AK14" s="40" t="s">
        <v>32</v>
      </c>
      <c r="AL14" s="40" t="s">
        <v>33</v>
      </c>
      <c r="AM14" s="40" t="s">
        <v>34</v>
      </c>
      <c r="AN14" s="40" t="s">
        <v>35</v>
      </c>
      <c r="AO14" s="40" t="s">
        <v>36</v>
      </c>
      <c r="AP14" s="40" t="s">
        <v>198</v>
      </c>
    </row>
    <row r="15" spans="1:42" ht="15" customHeight="1" x14ac:dyDescent="0.3">
      <c r="A15" s="32" t="s">
        <v>23</v>
      </c>
      <c r="B15" s="72"/>
      <c r="C15" s="62"/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AB15" s="26"/>
      <c r="AC15" s="26"/>
      <c r="AD15" s="26"/>
      <c r="AE15" s="26"/>
      <c r="AF15" s="26" t="s">
        <v>37</v>
      </c>
      <c r="AG15" s="26" t="s">
        <v>37</v>
      </c>
      <c r="AH15" s="26" t="s">
        <v>38</v>
      </c>
      <c r="AI15" s="26" t="s">
        <v>39</v>
      </c>
      <c r="AJ15" s="26" t="s">
        <v>40</v>
      </c>
      <c r="AK15" s="43" t="s">
        <v>41</v>
      </c>
      <c r="AL15" s="26" t="s">
        <v>39</v>
      </c>
      <c r="AM15" s="26" t="s">
        <v>40</v>
      </c>
      <c r="AN15" s="26" t="s">
        <v>41</v>
      </c>
      <c r="AO15" s="26" t="s">
        <v>42</v>
      </c>
      <c r="AP15" s="26" t="s">
        <v>43</v>
      </c>
    </row>
    <row r="16" spans="1:42" ht="24.6" x14ac:dyDescent="0.3">
      <c r="A16" s="42" t="s">
        <v>255</v>
      </c>
      <c r="B16" s="7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AB16" s="26"/>
      <c r="AC16" s="26"/>
      <c r="AD16" s="26"/>
      <c r="AE16" s="26"/>
      <c r="AF16" s="26" t="s">
        <v>44</v>
      </c>
      <c r="AG16" s="26"/>
      <c r="AH16" s="26" t="s">
        <v>44</v>
      </c>
      <c r="AI16" s="26" t="s">
        <v>45</v>
      </c>
      <c r="AJ16" s="26" t="s">
        <v>46</v>
      </c>
      <c r="AK16" s="43" t="s">
        <v>47</v>
      </c>
      <c r="AL16" s="26" t="s">
        <v>45</v>
      </c>
      <c r="AM16" s="26" t="s">
        <v>46</v>
      </c>
      <c r="AN16" s="26" t="s">
        <v>47</v>
      </c>
      <c r="AO16" s="26" t="s">
        <v>48</v>
      </c>
      <c r="AP16" s="26" t="s">
        <v>49</v>
      </c>
    </row>
    <row r="17" spans="1:42" s="46" customFormat="1" x14ac:dyDescent="0.3">
      <c r="A17" s="32"/>
      <c r="B17" s="72"/>
      <c r="C17" s="44" t="str">
        <f>IF(OR(C45="ERROR",C46="ERROR",C47="ERROR",C48="ERROR",C49="ERROR"),"FRAME R11 or R50/51 ONLY!","")</f>
        <v/>
      </c>
      <c r="D17" s="44" t="str">
        <f t="shared" ref="D17:V17" si="3">IF(OR(D45="ERROR",D46="ERROR",D47="ERROR",D48="ERROR",D49="ERROR"),"FRAME R11 or R50/51 ONLY!","")</f>
        <v/>
      </c>
      <c r="E17" s="44" t="str">
        <f t="shared" si="3"/>
        <v/>
      </c>
      <c r="F17" s="44" t="str">
        <f t="shared" si="3"/>
        <v/>
      </c>
      <c r="G17" s="44" t="str">
        <f t="shared" si="3"/>
        <v/>
      </c>
      <c r="H17" s="44" t="str">
        <f t="shared" si="3"/>
        <v/>
      </c>
      <c r="I17" s="44" t="str">
        <f t="shared" si="3"/>
        <v/>
      </c>
      <c r="J17" s="44" t="str">
        <f t="shared" si="3"/>
        <v/>
      </c>
      <c r="K17" s="44" t="str">
        <f t="shared" si="3"/>
        <v/>
      </c>
      <c r="L17" s="44" t="str">
        <f t="shared" si="3"/>
        <v/>
      </c>
      <c r="M17" s="44" t="str">
        <f t="shared" si="3"/>
        <v/>
      </c>
      <c r="N17" s="44" t="str">
        <f t="shared" si="3"/>
        <v/>
      </c>
      <c r="O17" s="44" t="str">
        <f t="shared" si="3"/>
        <v/>
      </c>
      <c r="P17" s="44" t="str">
        <f t="shared" si="3"/>
        <v/>
      </c>
      <c r="Q17" s="44" t="str">
        <f t="shared" si="3"/>
        <v/>
      </c>
      <c r="R17" s="44" t="str">
        <f t="shared" si="3"/>
        <v/>
      </c>
      <c r="S17" s="44" t="str">
        <f t="shared" si="3"/>
        <v/>
      </c>
      <c r="T17" s="44" t="str">
        <f t="shared" si="3"/>
        <v/>
      </c>
      <c r="U17" s="44" t="str">
        <f t="shared" si="3"/>
        <v/>
      </c>
      <c r="V17" s="44" t="str">
        <f t="shared" si="3"/>
        <v/>
      </c>
      <c r="AB17" s="26"/>
      <c r="AC17" s="26"/>
      <c r="AD17" s="40"/>
      <c r="AE17" s="40"/>
      <c r="AF17" s="40"/>
      <c r="AG17" s="40"/>
      <c r="AH17" s="40" t="s">
        <v>37</v>
      </c>
      <c r="AI17" s="40" t="s">
        <v>51</v>
      </c>
      <c r="AJ17" s="40" t="s">
        <v>52</v>
      </c>
      <c r="AK17" s="47" t="s">
        <v>53</v>
      </c>
      <c r="AL17" s="47" t="s">
        <v>54</v>
      </c>
      <c r="AM17" s="40" t="s">
        <v>55</v>
      </c>
      <c r="AN17" s="40" t="s">
        <v>56</v>
      </c>
      <c r="AO17" s="40" t="s">
        <v>57</v>
      </c>
      <c r="AP17" s="40" t="s">
        <v>58</v>
      </c>
    </row>
    <row r="18" spans="1:42" s="46" customFormat="1" ht="39" customHeight="1" x14ac:dyDescent="0.2">
      <c r="A18" s="45" t="s">
        <v>84</v>
      </c>
      <c r="B18" s="72"/>
      <c r="C18" s="63"/>
      <c r="D18" s="63"/>
      <c r="E18" s="63"/>
      <c r="F18" s="63"/>
      <c r="G18" s="63"/>
      <c r="H18" s="63"/>
      <c r="I18" s="63"/>
      <c r="J18" s="63"/>
      <c r="K18" s="63"/>
      <c r="L18" s="63"/>
      <c r="M18" s="63"/>
      <c r="N18" s="63"/>
      <c r="O18" s="63"/>
      <c r="P18" s="63"/>
      <c r="Q18" s="63"/>
      <c r="R18" s="63"/>
      <c r="S18" s="63"/>
      <c r="T18" s="63"/>
      <c r="U18" s="63"/>
      <c r="V18" s="63"/>
      <c r="AB18" s="26"/>
      <c r="AC18" s="48"/>
      <c r="AD18" s="48"/>
      <c r="AE18" s="48"/>
      <c r="AF18" s="48"/>
      <c r="AG18" s="48"/>
      <c r="AH18" s="48"/>
      <c r="AI18" s="48"/>
      <c r="AJ18" s="40" t="s">
        <v>59</v>
      </c>
      <c r="AK18" s="47" t="s">
        <v>60</v>
      </c>
      <c r="AL18" s="49"/>
      <c r="AM18" s="40" t="s">
        <v>59</v>
      </c>
      <c r="AN18" s="40" t="s">
        <v>61</v>
      </c>
      <c r="AO18" s="40" t="s">
        <v>62</v>
      </c>
      <c r="AP18" s="40" t="s">
        <v>63</v>
      </c>
    </row>
    <row r="19" spans="1:42" ht="22.5" customHeight="1" x14ac:dyDescent="0.3">
      <c r="A19" s="45" t="s">
        <v>50</v>
      </c>
      <c r="B19" s="72"/>
      <c r="C19" s="63"/>
      <c r="D19" s="63"/>
      <c r="E19" s="63"/>
      <c r="F19" s="63"/>
      <c r="G19" s="63"/>
      <c r="H19" s="63"/>
      <c r="I19" s="63"/>
      <c r="J19" s="63"/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AB19" s="34"/>
      <c r="AC19" s="51"/>
      <c r="AD19" s="51"/>
      <c r="AE19" s="51"/>
      <c r="AF19" s="51"/>
      <c r="AG19" s="51"/>
      <c r="AH19" s="51"/>
      <c r="AI19" s="51"/>
      <c r="AJ19" s="26" t="s">
        <v>64</v>
      </c>
      <c r="AK19" s="43" t="s">
        <v>65</v>
      </c>
      <c r="AL19" s="34"/>
      <c r="AM19" s="26" t="s">
        <v>64</v>
      </c>
      <c r="AN19" s="26" t="s">
        <v>66</v>
      </c>
      <c r="AO19" s="26" t="s">
        <v>67</v>
      </c>
      <c r="AP19" s="26" t="s">
        <v>68</v>
      </c>
    </row>
    <row r="20" spans="1:42" ht="30" customHeight="1" x14ac:dyDescent="0.3">
      <c r="A20" s="45"/>
      <c r="B20" s="72"/>
      <c r="C20" s="50" t="str">
        <f t="shared" ref="C20:V20" si="4">IF(AND(C19="",C63="COL"),"COLOUR REQUIRED","")</f>
        <v/>
      </c>
      <c r="D20" s="50" t="str">
        <f t="shared" si="4"/>
        <v/>
      </c>
      <c r="E20" s="50" t="str">
        <f t="shared" si="4"/>
        <v/>
      </c>
      <c r="F20" s="50" t="str">
        <f t="shared" si="4"/>
        <v/>
      </c>
      <c r="G20" s="50" t="str">
        <f t="shared" si="4"/>
        <v/>
      </c>
      <c r="H20" s="50" t="str">
        <f t="shared" si="4"/>
        <v/>
      </c>
      <c r="I20" s="50" t="str">
        <f t="shared" si="4"/>
        <v/>
      </c>
      <c r="J20" s="50" t="str">
        <f t="shared" si="4"/>
        <v/>
      </c>
      <c r="K20" s="50" t="str">
        <f t="shared" si="4"/>
        <v/>
      </c>
      <c r="L20" s="50" t="str">
        <f t="shared" si="4"/>
        <v/>
      </c>
      <c r="M20" s="50" t="str">
        <f t="shared" si="4"/>
        <v/>
      </c>
      <c r="N20" s="50" t="str">
        <f t="shared" si="4"/>
        <v/>
      </c>
      <c r="O20" s="50" t="str">
        <f t="shared" si="4"/>
        <v/>
      </c>
      <c r="P20" s="50" t="str">
        <f t="shared" si="4"/>
        <v/>
      </c>
      <c r="Q20" s="50" t="str">
        <f t="shared" si="4"/>
        <v/>
      </c>
      <c r="R20" s="50" t="str">
        <f t="shared" si="4"/>
        <v/>
      </c>
      <c r="S20" s="50" t="str">
        <f t="shared" si="4"/>
        <v/>
      </c>
      <c r="T20" s="50" t="str">
        <f t="shared" si="4"/>
        <v/>
      </c>
      <c r="U20" s="50" t="str">
        <f t="shared" si="4"/>
        <v/>
      </c>
      <c r="V20" s="50" t="str">
        <f t="shared" si="4"/>
        <v/>
      </c>
      <c r="AB20" s="34"/>
      <c r="AC20" s="51"/>
      <c r="AD20" s="51"/>
      <c r="AE20" s="51"/>
      <c r="AF20" s="51"/>
      <c r="AG20" s="51"/>
      <c r="AH20" s="51"/>
      <c r="AI20" s="51"/>
      <c r="AJ20" s="26" t="s">
        <v>69</v>
      </c>
      <c r="AK20" s="34"/>
      <c r="AL20" s="34"/>
      <c r="AM20" s="26" t="s">
        <v>69</v>
      </c>
      <c r="AN20" s="26" t="s">
        <v>70</v>
      </c>
      <c r="AO20" s="26" t="s">
        <v>71</v>
      </c>
      <c r="AP20" s="26" t="s">
        <v>72</v>
      </c>
    </row>
    <row r="21" spans="1:42" x14ac:dyDescent="0.3">
      <c r="A21" s="32" t="s">
        <v>228</v>
      </c>
      <c r="B21" s="72" t="s">
        <v>226</v>
      </c>
      <c r="C21" s="52" t="str">
        <f>IF(C18="Mirror_Glass","Yes",IF(C18="Lacobel_Classics","Yes",IF(C18="Lacobel_Trendies","Yes",IF(C18="Lacobel_Exclusives","Yes",IF(C18="Matelac_Classics","Yes",IF(C18="Matelac_Trendies","Yes",IF(C18="Matelac_Exclusives","Yes","")))))))</f>
        <v/>
      </c>
      <c r="D21" s="52" t="str">
        <f t="shared" ref="D21:V21" si="5">IF(D18="Mirror_Glass","Yes",IF(D18="Lacobel_Classics","Yes",IF(D18="Lacobel_Trendies","Yes",IF(D18="Lacobel_Exclusives","Yes",IF(D18="Matelac_Classics","Yes",IF(D18="Matelac_Trendies","Yes",IF(D18="Matelac_Exclusives","Yes","")))))))</f>
        <v/>
      </c>
      <c r="E21" s="52" t="str">
        <f t="shared" si="5"/>
        <v/>
      </c>
      <c r="F21" s="52" t="str">
        <f t="shared" si="5"/>
        <v/>
      </c>
      <c r="G21" s="52" t="str">
        <f t="shared" si="5"/>
        <v/>
      </c>
      <c r="H21" s="52" t="str">
        <f t="shared" si="5"/>
        <v/>
      </c>
      <c r="I21" s="52" t="str">
        <f t="shared" si="5"/>
        <v/>
      </c>
      <c r="J21" s="52" t="str">
        <f t="shared" si="5"/>
        <v/>
      </c>
      <c r="K21" s="52" t="str">
        <f t="shared" si="5"/>
        <v/>
      </c>
      <c r="L21" s="52" t="str">
        <f t="shared" si="5"/>
        <v/>
      </c>
      <c r="M21" s="52" t="str">
        <f t="shared" si="5"/>
        <v/>
      </c>
      <c r="N21" s="52" t="str">
        <f t="shared" si="5"/>
        <v/>
      </c>
      <c r="O21" s="52" t="str">
        <f t="shared" si="5"/>
        <v/>
      </c>
      <c r="P21" s="52" t="str">
        <f t="shared" si="5"/>
        <v/>
      </c>
      <c r="Q21" s="52" t="str">
        <f t="shared" si="5"/>
        <v/>
      </c>
      <c r="R21" s="52" t="str">
        <f t="shared" si="5"/>
        <v/>
      </c>
      <c r="S21" s="52" t="str">
        <f t="shared" si="5"/>
        <v/>
      </c>
      <c r="T21" s="52" t="str">
        <f t="shared" si="5"/>
        <v/>
      </c>
      <c r="U21" s="52" t="str">
        <f t="shared" si="5"/>
        <v/>
      </c>
      <c r="V21" s="52" t="str">
        <f t="shared" si="5"/>
        <v/>
      </c>
      <c r="AB21" s="34"/>
      <c r="AC21" s="51"/>
      <c r="AD21" s="51"/>
      <c r="AE21" s="51"/>
      <c r="AF21" s="51"/>
      <c r="AG21" s="51"/>
      <c r="AH21" s="51"/>
      <c r="AI21" s="51"/>
      <c r="AJ21" s="26" t="s">
        <v>73</v>
      </c>
      <c r="AK21" s="34"/>
      <c r="AL21" s="34"/>
      <c r="AM21" s="26" t="s">
        <v>73</v>
      </c>
      <c r="AN21" s="26"/>
      <c r="AO21" s="34"/>
      <c r="AP21" s="34"/>
    </row>
    <row r="22" spans="1:42" x14ac:dyDescent="0.3">
      <c r="A22" s="39"/>
      <c r="B22" s="72" t="s">
        <v>227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AB22" s="34"/>
      <c r="AC22" s="51"/>
      <c r="AD22" s="51"/>
      <c r="AE22" s="51"/>
      <c r="AF22" s="51"/>
      <c r="AG22" s="51"/>
      <c r="AH22" s="51"/>
      <c r="AI22" s="51"/>
      <c r="AJ22" s="26" t="s">
        <v>75</v>
      </c>
      <c r="AK22" s="34"/>
      <c r="AL22" s="34"/>
      <c r="AM22" s="26" t="s">
        <v>75</v>
      </c>
      <c r="AN22" s="51"/>
      <c r="AO22" s="34"/>
      <c r="AP22" s="34"/>
    </row>
    <row r="23" spans="1:42" x14ac:dyDescent="0.3">
      <c r="A23" s="32"/>
      <c r="B23" s="72"/>
      <c r="C23" s="53" t="str">
        <f>IF(AND(C21="",C22="Yes"),"NOT AVAILABLE!","")</f>
        <v/>
      </c>
      <c r="D23" s="53" t="str">
        <f t="shared" ref="D23:V23" si="6">IF(AND(D21="",D22="Yes"),"NOT AVAILABLE!","")</f>
        <v/>
      </c>
      <c r="E23" s="53" t="str">
        <f t="shared" si="6"/>
        <v/>
      </c>
      <c r="F23" s="53" t="str">
        <f t="shared" si="6"/>
        <v/>
      </c>
      <c r="G23" s="53" t="str">
        <f t="shared" si="6"/>
        <v/>
      </c>
      <c r="H23" s="53" t="str">
        <f t="shared" si="6"/>
        <v/>
      </c>
      <c r="I23" s="53" t="str">
        <f t="shared" si="6"/>
        <v/>
      </c>
      <c r="J23" s="53" t="str">
        <f t="shared" si="6"/>
        <v/>
      </c>
      <c r="K23" s="53" t="str">
        <f t="shared" si="6"/>
        <v/>
      </c>
      <c r="L23" s="53" t="str">
        <f t="shared" si="6"/>
        <v/>
      </c>
      <c r="M23" s="53" t="str">
        <f t="shared" si="6"/>
        <v/>
      </c>
      <c r="N23" s="53" t="str">
        <f t="shared" si="6"/>
        <v/>
      </c>
      <c r="O23" s="53" t="str">
        <f t="shared" si="6"/>
        <v/>
      </c>
      <c r="P23" s="53" t="str">
        <f t="shared" si="6"/>
        <v/>
      </c>
      <c r="Q23" s="53" t="str">
        <f t="shared" si="6"/>
        <v/>
      </c>
      <c r="R23" s="53" t="str">
        <f t="shared" si="6"/>
        <v/>
      </c>
      <c r="S23" s="53" t="str">
        <f t="shared" si="6"/>
        <v/>
      </c>
      <c r="T23" s="53" t="str">
        <f t="shared" si="6"/>
        <v/>
      </c>
      <c r="U23" s="53" t="str">
        <f t="shared" si="6"/>
        <v/>
      </c>
      <c r="V23" s="53" t="str">
        <f t="shared" si="6"/>
        <v/>
      </c>
      <c r="AB23" s="34"/>
      <c r="AC23" s="51"/>
      <c r="AD23" s="51"/>
      <c r="AE23" s="51"/>
      <c r="AF23" s="51"/>
      <c r="AG23" s="51"/>
      <c r="AH23" s="51"/>
      <c r="AI23" s="51"/>
      <c r="AJ23" s="26" t="s">
        <v>76</v>
      </c>
      <c r="AK23" s="34"/>
      <c r="AL23" s="34"/>
      <c r="AM23" s="26" t="s">
        <v>76</v>
      </c>
      <c r="AN23" s="51"/>
      <c r="AO23" s="34"/>
      <c r="AP23" s="34"/>
    </row>
    <row r="24" spans="1:42" x14ac:dyDescent="0.3">
      <c r="A24" s="32" t="s">
        <v>74</v>
      </c>
      <c r="B24" s="72" t="s">
        <v>226</v>
      </c>
      <c r="C24" s="35" t="str">
        <f>IF(C18=$AC$14,"Yes",IF(C18=$AD$14,"Yes",IF(C18=$AF$14,"Yes",IF(C18=$AG$14,"Yes",""))))</f>
        <v/>
      </c>
      <c r="D24" s="35" t="str">
        <f t="shared" ref="D24:V24" si="7">IF(D18=$AC$14,"Yes",IF(D18=$AD$14,"Yes",IF(D18=$AF$14,"Yes",IF(D18=$AG$14,"Yes",""))))</f>
        <v/>
      </c>
      <c r="E24" s="35" t="str">
        <f t="shared" si="7"/>
        <v/>
      </c>
      <c r="F24" s="35" t="str">
        <f t="shared" si="7"/>
        <v/>
      </c>
      <c r="G24" s="35" t="str">
        <f t="shared" si="7"/>
        <v/>
      </c>
      <c r="H24" s="35" t="str">
        <f t="shared" si="7"/>
        <v/>
      </c>
      <c r="I24" s="35" t="str">
        <f t="shared" si="7"/>
        <v/>
      </c>
      <c r="J24" s="35" t="str">
        <f t="shared" si="7"/>
        <v/>
      </c>
      <c r="K24" s="35" t="str">
        <f t="shared" si="7"/>
        <v/>
      </c>
      <c r="L24" s="35" t="str">
        <f t="shared" si="7"/>
        <v/>
      </c>
      <c r="M24" s="35" t="str">
        <f t="shared" si="7"/>
        <v/>
      </c>
      <c r="N24" s="35" t="str">
        <f t="shared" si="7"/>
        <v/>
      </c>
      <c r="O24" s="35" t="str">
        <f t="shared" si="7"/>
        <v/>
      </c>
      <c r="P24" s="35" t="str">
        <f t="shared" si="7"/>
        <v/>
      </c>
      <c r="Q24" s="35" t="str">
        <f t="shared" si="7"/>
        <v/>
      </c>
      <c r="R24" s="35" t="str">
        <f t="shared" si="7"/>
        <v/>
      </c>
      <c r="S24" s="35" t="str">
        <f t="shared" si="7"/>
        <v/>
      </c>
      <c r="T24" s="35" t="str">
        <f t="shared" si="7"/>
        <v/>
      </c>
      <c r="U24" s="35" t="str">
        <f t="shared" si="7"/>
        <v/>
      </c>
      <c r="V24" s="35" t="str">
        <f t="shared" si="7"/>
        <v/>
      </c>
      <c r="AB24" s="34"/>
      <c r="AC24" s="51"/>
      <c r="AD24" s="51"/>
      <c r="AE24" s="51"/>
      <c r="AF24" s="51"/>
      <c r="AG24" s="51"/>
      <c r="AH24" s="51"/>
      <c r="AI24" s="51"/>
      <c r="AJ24" s="26" t="s">
        <v>77</v>
      </c>
      <c r="AK24" s="34"/>
      <c r="AL24" s="34"/>
      <c r="AM24" s="26" t="s">
        <v>77</v>
      </c>
      <c r="AN24" s="51"/>
      <c r="AO24" s="34"/>
      <c r="AP24" s="34"/>
    </row>
    <row r="25" spans="1:42" x14ac:dyDescent="0.3">
      <c r="A25" s="39"/>
      <c r="B25" s="72" t="s">
        <v>227</v>
      </c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X25" s="1" t="str">
        <f>IF(Q27="Other","Other Hinge Type Detail",IF(R27="Other","Other Hinge Type Detail",IF(S27="Other","Other Hinge Type Detail",IF(T27="Other","Other Hinge Type Detail",IF(U27="Other","Other Hinge Type Detail",IF(V27="Other","Other Hinge Type Detail",""))))))</f>
        <v/>
      </c>
      <c r="AB25" s="34"/>
      <c r="AC25" s="51"/>
      <c r="AD25" s="51"/>
      <c r="AE25" s="51"/>
      <c r="AF25" s="51"/>
      <c r="AG25" s="51"/>
      <c r="AH25" s="51"/>
      <c r="AI25" s="51"/>
      <c r="AJ25" s="26" t="s">
        <v>79</v>
      </c>
      <c r="AK25" s="34"/>
      <c r="AL25" s="34"/>
      <c r="AM25" s="26" t="s">
        <v>79</v>
      </c>
      <c r="AN25" s="51"/>
      <c r="AO25" s="34"/>
      <c r="AP25" s="34"/>
    </row>
    <row r="26" spans="1:42" x14ac:dyDescent="0.3">
      <c r="A26" s="32"/>
      <c r="B26" s="72"/>
      <c r="C26" s="53" t="str">
        <f>IF(AND(C24="",C25="Yes"),"NOT AVAILABLE!","")</f>
        <v/>
      </c>
      <c r="D26" s="53" t="str">
        <f t="shared" ref="D26:V26" si="8">IF(AND(D24="",D25="Yes"),"NOT AVAILABLE!","")</f>
        <v/>
      </c>
      <c r="E26" s="53" t="str">
        <f t="shared" si="8"/>
        <v/>
      </c>
      <c r="F26" s="53" t="str">
        <f t="shared" si="8"/>
        <v/>
      </c>
      <c r="G26" s="53" t="str">
        <f t="shared" si="8"/>
        <v/>
      </c>
      <c r="H26" s="53" t="str">
        <f t="shared" si="8"/>
        <v/>
      </c>
      <c r="I26" s="53" t="str">
        <f t="shared" si="8"/>
        <v/>
      </c>
      <c r="J26" s="53" t="str">
        <f t="shared" si="8"/>
        <v/>
      </c>
      <c r="K26" s="53" t="str">
        <f t="shared" si="8"/>
        <v/>
      </c>
      <c r="L26" s="53" t="str">
        <f t="shared" si="8"/>
        <v/>
      </c>
      <c r="M26" s="53" t="str">
        <f t="shared" si="8"/>
        <v/>
      </c>
      <c r="N26" s="53" t="str">
        <f t="shared" si="8"/>
        <v/>
      </c>
      <c r="O26" s="53" t="str">
        <f t="shared" si="8"/>
        <v/>
      </c>
      <c r="P26" s="53" t="str">
        <f t="shared" si="8"/>
        <v/>
      </c>
      <c r="Q26" s="53" t="str">
        <f t="shared" si="8"/>
        <v/>
      </c>
      <c r="R26" s="53" t="str">
        <f t="shared" si="8"/>
        <v/>
      </c>
      <c r="S26" s="53" t="str">
        <f t="shared" si="8"/>
        <v/>
      </c>
      <c r="T26" s="53" t="str">
        <f t="shared" si="8"/>
        <v/>
      </c>
      <c r="U26" s="53" t="str">
        <f t="shared" si="8"/>
        <v/>
      </c>
      <c r="V26" s="53" t="str">
        <f t="shared" si="8"/>
        <v/>
      </c>
      <c r="X26" s="1" t="str">
        <f>IF(Q28="Other","Other Angle Detail",IF(R28="Other","Other Angle Detail",IF(S28="Other","Other Angle Detail",IF(T28="Other","Other Angle Detail",IF(U28="Other","Other Angle Detail",IF(V28="Other","Other Angle Detail",""))))))</f>
        <v/>
      </c>
      <c r="AB26" s="34"/>
      <c r="AC26" s="51"/>
      <c r="AD26" s="51"/>
      <c r="AE26" s="51"/>
      <c r="AF26" s="51"/>
      <c r="AG26" s="51"/>
      <c r="AH26" s="51"/>
      <c r="AI26" s="51"/>
      <c r="AJ26" s="26" t="s">
        <v>81</v>
      </c>
      <c r="AK26" s="34"/>
      <c r="AL26" s="34"/>
      <c r="AM26" s="51"/>
      <c r="AN26" s="51"/>
      <c r="AO26" s="34"/>
      <c r="AP26" s="34"/>
    </row>
    <row r="27" spans="1:42" x14ac:dyDescent="0.3">
      <c r="A27" s="32" t="s">
        <v>78</v>
      </c>
      <c r="B27" s="72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</row>
    <row r="28" spans="1:42" x14ac:dyDescent="0.3">
      <c r="A28" s="32" t="s">
        <v>95</v>
      </c>
      <c r="B28" s="72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AB28" s="36" t="s">
        <v>98</v>
      </c>
      <c r="AC28" s="36" t="s">
        <v>99</v>
      </c>
      <c r="AD28" s="36" t="s">
        <v>97</v>
      </c>
      <c r="AE28" s="54" t="s">
        <v>96</v>
      </c>
      <c r="AF28" s="40"/>
      <c r="AG28" s="54"/>
      <c r="AH28" s="40"/>
      <c r="AI28" s="54"/>
      <c r="AJ28" s="54"/>
      <c r="AK28" s="54"/>
      <c r="AL28" s="54"/>
      <c r="AM28" s="54"/>
      <c r="AN28" s="54"/>
      <c r="AO28" s="40"/>
      <c r="AP28" s="54"/>
    </row>
    <row r="29" spans="1:42" x14ac:dyDescent="0.3">
      <c r="A29" s="32" t="s">
        <v>80</v>
      </c>
      <c r="B29" s="72"/>
      <c r="C29" s="74"/>
      <c r="D29" s="74"/>
      <c r="E29" s="74"/>
      <c r="F29" s="74"/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AB29" s="54" t="s">
        <v>100</v>
      </c>
      <c r="AC29" s="54" t="s">
        <v>100</v>
      </c>
      <c r="AD29" s="54" t="s">
        <v>100</v>
      </c>
      <c r="AE29" s="54" t="s">
        <v>104</v>
      </c>
      <c r="AG29" s="36"/>
    </row>
    <row r="30" spans="1:42" ht="30" customHeight="1" x14ac:dyDescent="0.3">
      <c r="A30" s="32"/>
      <c r="B30" s="72"/>
      <c r="C30" s="71" t="str">
        <f t="shared" ref="C30:V30" si="9">IF(AND(C31&gt;0,C62&lt;3),"TYPE AND SIDE REQ'D","")</f>
        <v/>
      </c>
      <c r="D30" s="71" t="str">
        <f t="shared" si="9"/>
        <v/>
      </c>
      <c r="E30" s="71" t="str">
        <f t="shared" si="9"/>
        <v/>
      </c>
      <c r="F30" s="71" t="str">
        <f t="shared" si="9"/>
        <v/>
      </c>
      <c r="G30" s="71" t="str">
        <f t="shared" si="9"/>
        <v/>
      </c>
      <c r="H30" s="71" t="str">
        <f t="shared" si="9"/>
        <v/>
      </c>
      <c r="I30" s="71" t="str">
        <f t="shared" si="9"/>
        <v/>
      </c>
      <c r="J30" s="71" t="str">
        <f t="shared" si="9"/>
        <v/>
      </c>
      <c r="K30" s="71" t="str">
        <f t="shared" si="9"/>
        <v/>
      </c>
      <c r="L30" s="71" t="str">
        <f t="shared" si="9"/>
        <v/>
      </c>
      <c r="M30" s="71" t="str">
        <f t="shared" si="9"/>
        <v/>
      </c>
      <c r="N30" s="71" t="str">
        <f t="shared" si="9"/>
        <v/>
      </c>
      <c r="O30" s="71" t="str">
        <f t="shared" si="9"/>
        <v/>
      </c>
      <c r="P30" s="71" t="str">
        <f t="shared" si="9"/>
        <v/>
      </c>
      <c r="Q30" s="71" t="str">
        <f t="shared" si="9"/>
        <v/>
      </c>
      <c r="R30" s="71" t="str">
        <f t="shared" si="9"/>
        <v/>
      </c>
      <c r="S30" s="71" t="str">
        <f t="shared" si="9"/>
        <v/>
      </c>
      <c r="T30" s="71" t="str">
        <f t="shared" si="9"/>
        <v/>
      </c>
      <c r="U30" s="71" t="str">
        <f t="shared" si="9"/>
        <v/>
      </c>
      <c r="V30" s="71" t="str">
        <f t="shared" si="9"/>
        <v/>
      </c>
      <c r="AB30" s="54" t="s">
        <v>101</v>
      </c>
      <c r="AC30" s="54" t="s">
        <v>101</v>
      </c>
      <c r="AD30" s="54" t="s">
        <v>101</v>
      </c>
      <c r="AE30" s="54" t="s">
        <v>105</v>
      </c>
      <c r="AG30" s="36"/>
      <c r="AM30" s="1"/>
      <c r="AN30" s="1"/>
    </row>
    <row r="31" spans="1:42" x14ac:dyDescent="0.3">
      <c r="A31" s="32" t="s">
        <v>195</v>
      </c>
      <c r="B31" s="72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AB31" s="54" t="s">
        <v>102</v>
      </c>
      <c r="AC31" s="54" t="s">
        <v>102</v>
      </c>
      <c r="AD31" s="54" t="s">
        <v>102</v>
      </c>
      <c r="AE31" s="54" t="s">
        <v>106</v>
      </c>
      <c r="AG31" s="36"/>
      <c r="AM31" s="1"/>
      <c r="AN31" s="1"/>
    </row>
    <row r="32" spans="1:42" ht="24.9" customHeight="1" x14ac:dyDescent="0.3">
      <c r="A32" s="32"/>
      <c r="B32" s="72"/>
      <c r="C32" s="71" t="str">
        <f>IF(AND(C12=$AG$3,C31&gt;0),"NOT AVAILABLE WITH R15 FRAME","")</f>
        <v/>
      </c>
      <c r="D32" s="71" t="str">
        <f>IF(AND(D12=$AG$3,D31&gt;0),"NOT AVAILABLE WITH R15 FRAME","")</f>
        <v/>
      </c>
      <c r="E32" s="71" t="str">
        <f t="shared" ref="E32:V32" si="10">IF(AND(E12=$AG$3,E31&gt;0),"NOT AVAILABLE WITH R15 FRAME","")</f>
        <v/>
      </c>
      <c r="F32" s="71" t="str">
        <f t="shared" si="10"/>
        <v/>
      </c>
      <c r="G32" s="71" t="str">
        <f t="shared" si="10"/>
        <v/>
      </c>
      <c r="H32" s="71" t="str">
        <f t="shared" si="10"/>
        <v/>
      </c>
      <c r="I32" s="71" t="str">
        <f t="shared" si="10"/>
        <v/>
      </c>
      <c r="J32" s="71" t="str">
        <f t="shared" si="10"/>
        <v/>
      </c>
      <c r="K32" s="71" t="str">
        <f t="shared" si="10"/>
        <v/>
      </c>
      <c r="L32" s="71" t="str">
        <f t="shared" si="10"/>
        <v/>
      </c>
      <c r="M32" s="71" t="str">
        <f t="shared" si="10"/>
        <v/>
      </c>
      <c r="N32" s="71" t="str">
        <f t="shared" si="10"/>
        <v/>
      </c>
      <c r="O32" s="71" t="str">
        <f t="shared" si="10"/>
        <v/>
      </c>
      <c r="P32" s="71" t="str">
        <f t="shared" si="10"/>
        <v/>
      </c>
      <c r="Q32" s="71" t="str">
        <f t="shared" si="10"/>
        <v/>
      </c>
      <c r="R32" s="71" t="str">
        <f t="shared" si="10"/>
        <v/>
      </c>
      <c r="S32" s="71" t="str">
        <f t="shared" si="10"/>
        <v/>
      </c>
      <c r="T32" s="71" t="str">
        <f t="shared" si="10"/>
        <v/>
      </c>
      <c r="U32" s="71" t="str">
        <f t="shared" si="10"/>
        <v/>
      </c>
      <c r="V32" s="71" t="str">
        <f t="shared" si="10"/>
        <v/>
      </c>
      <c r="AB32" s="54" t="s">
        <v>103</v>
      </c>
      <c r="AC32" s="54" t="s">
        <v>103</v>
      </c>
      <c r="AD32" s="54" t="s">
        <v>103</v>
      </c>
      <c r="AE32" s="54" t="s">
        <v>96</v>
      </c>
    </row>
    <row r="33" spans="1:40" ht="30" customHeight="1" x14ac:dyDescent="0.3">
      <c r="A33" s="32"/>
      <c r="B33" s="72"/>
      <c r="C33" s="105" t="str">
        <f t="shared" ref="C33:V33" si="11">IF(C60&gt;C31,"CHECK HINGE NUMBER","")</f>
        <v/>
      </c>
      <c r="D33" s="105" t="str">
        <f t="shared" si="11"/>
        <v/>
      </c>
      <c r="E33" s="105" t="str">
        <f t="shared" si="11"/>
        <v/>
      </c>
      <c r="F33" s="105" t="str">
        <f t="shared" si="11"/>
        <v/>
      </c>
      <c r="G33" s="105" t="str">
        <f t="shared" si="11"/>
        <v/>
      </c>
      <c r="H33" s="105" t="str">
        <f t="shared" si="11"/>
        <v/>
      </c>
      <c r="I33" s="105" t="str">
        <f t="shared" si="11"/>
        <v/>
      </c>
      <c r="J33" s="105" t="str">
        <f t="shared" si="11"/>
        <v/>
      </c>
      <c r="K33" s="105" t="str">
        <f t="shared" si="11"/>
        <v/>
      </c>
      <c r="L33" s="105" t="str">
        <f t="shared" si="11"/>
        <v/>
      </c>
      <c r="M33" s="105" t="str">
        <f t="shared" si="11"/>
        <v/>
      </c>
      <c r="N33" s="105" t="str">
        <f t="shared" si="11"/>
        <v/>
      </c>
      <c r="O33" s="105" t="str">
        <f t="shared" si="11"/>
        <v/>
      </c>
      <c r="P33" s="105" t="str">
        <f t="shared" si="11"/>
        <v/>
      </c>
      <c r="Q33" s="105" t="str">
        <f t="shared" si="11"/>
        <v/>
      </c>
      <c r="R33" s="105" t="str">
        <f t="shared" si="11"/>
        <v/>
      </c>
      <c r="S33" s="105" t="str">
        <f t="shared" si="11"/>
        <v/>
      </c>
      <c r="T33" s="105" t="str">
        <f t="shared" si="11"/>
        <v/>
      </c>
      <c r="U33" s="105" t="str">
        <f t="shared" si="11"/>
        <v/>
      </c>
      <c r="V33" s="105" t="str">
        <f t="shared" si="11"/>
        <v/>
      </c>
      <c r="AB33" s="40" t="s">
        <v>96</v>
      </c>
      <c r="AC33" s="54" t="s">
        <v>96</v>
      </c>
      <c r="AD33" s="54" t="s">
        <v>96</v>
      </c>
    </row>
    <row r="34" spans="1:40" x14ac:dyDescent="0.3">
      <c r="A34" s="32" t="s">
        <v>229</v>
      </c>
      <c r="B34" s="72" t="s">
        <v>9</v>
      </c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AB34" s="40"/>
    </row>
    <row r="35" spans="1:40" x14ac:dyDescent="0.3">
      <c r="A35" s="32" t="s">
        <v>230</v>
      </c>
      <c r="B35" s="72" t="s">
        <v>9</v>
      </c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AB35" s="40"/>
    </row>
    <row r="36" spans="1:40" x14ac:dyDescent="0.3">
      <c r="A36" s="32" t="s">
        <v>231</v>
      </c>
      <c r="B36" s="72" t="s">
        <v>9</v>
      </c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AB36" s="40"/>
    </row>
    <row r="37" spans="1:40" x14ac:dyDescent="0.3">
      <c r="A37" s="32" t="s">
        <v>232</v>
      </c>
      <c r="B37" s="72" t="s">
        <v>9</v>
      </c>
      <c r="C37" s="59"/>
      <c r="D37" s="59"/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</row>
    <row r="38" spans="1:40" x14ac:dyDescent="0.3">
      <c r="A38" s="32" t="s">
        <v>233</v>
      </c>
      <c r="B38" s="39" t="s">
        <v>9</v>
      </c>
      <c r="C38" s="59"/>
      <c r="D38" s="59"/>
      <c r="E38" s="59"/>
      <c r="F38" s="59"/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</row>
    <row r="39" spans="1:40" ht="30" customHeight="1" x14ac:dyDescent="0.3">
      <c r="A39" s="32"/>
      <c r="B39" s="39"/>
      <c r="C39" s="69" t="str">
        <f>IF(OR(C55="HINGE",C56="HINGE",C57="HINGE",C58="HINGE",C59="HINGE"),"MEASUREMENT REQ'D","")</f>
        <v/>
      </c>
      <c r="D39" s="69" t="str">
        <f t="shared" ref="D39:V39" si="12">IF(OR(D55="HINGE",D56="HINGE",D57="HINGE",D58="HINGE",D59="HINGE"),"MEASUREMENT REQ'D","")</f>
        <v/>
      </c>
      <c r="E39" s="69" t="str">
        <f t="shared" si="12"/>
        <v/>
      </c>
      <c r="F39" s="69" t="str">
        <f t="shared" si="12"/>
        <v/>
      </c>
      <c r="G39" s="69" t="str">
        <f t="shared" si="12"/>
        <v/>
      </c>
      <c r="H39" s="69" t="str">
        <f t="shared" si="12"/>
        <v/>
      </c>
      <c r="I39" s="69" t="str">
        <f t="shared" si="12"/>
        <v/>
      </c>
      <c r="J39" s="69" t="str">
        <f t="shared" si="12"/>
        <v/>
      </c>
      <c r="K39" s="69" t="str">
        <f t="shared" si="12"/>
        <v/>
      </c>
      <c r="L39" s="69" t="str">
        <f t="shared" si="12"/>
        <v/>
      </c>
      <c r="M39" s="69" t="str">
        <f t="shared" si="12"/>
        <v/>
      </c>
      <c r="N39" s="69" t="str">
        <f t="shared" si="12"/>
        <v/>
      </c>
      <c r="O39" s="69" t="str">
        <f t="shared" si="12"/>
        <v/>
      </c>
      <c r="P39" s="69" t="str">
        <f t="shared" si="12"/>
        <v/>
      </c>
      <c r="Q39" s="69" t="str">
        <f t="shared" si="12"/>
        <v/>
      </c>
      <c r="R39" s="69" t="str">
        <f t="shared" si="12"/>
        <v/>
      </c>
      <c r="S39" s="69" t="str">
        <f t="shared" si="12"/>
        <v/>
      </c>
      <c r="T39" s="69" t="str">
        <f t="shared" si="12"/>
        <v/>
      </c>
      <c r="U39" s="69" t="str">
        <f t="shared" si="12"/>
        <v/>
      </c>
      <c r="V39" s="69" t="str">
        <f t="shared" si="12"/>
        <v/>
      </c>
    </row>
    <row r="40" spans="1:40" x14ac:dyDescent="0.3">
      <c r="A40" s="32" t="s">
        <v>82</v>
      </c>
      <c r="B40" s="39"/>
      <c r="C40" s="64"/>
      <c r="D40" s="64"/>
      <c r="E40" s="64"/>
      <c r="F40" s="64"/>
      <c r="G40" s="64"/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  <c r="V40" s="64"/>
    </row>
    <row r="41" spans="1:40" x14ac:dyDescent="0.3">
      <c r="A41" s="32" t="s">
        <v>83</v>
      </c>
      <c r="B41" s="39"/>
      <c r="C41" s="64"/>
      <c r="D41" s="64"/>
      <c r="E41" s="64"/>
      <c r="F41" s="64"/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</row>
    <row r="42" spans="1:40" s="46" customFormat="1" ht="30" customHeight="1" x14ac:dyDescent="0.3">
      <c r="A42" s="45"/>
      <c r="B42" s="39"/>
      <c r="C42" s="71" t="str">
        <f t="shared" ref="C42:V42" si="13">IF(AND(C31&gt;0,C61&lt;2),"HINGE DETAILS REQ'D","")</f>
        <v/>
      </c>
      <c r="D42" s="71" t="str">
        <f t="shared" si="13"/>
        <v/>
      </c>
      <c r="E42" s="71" t="str">
        <f t="shared" si="13"/>
        <v/>
      </c>
      <c r="F42" s="71" t="str">
        <f t="shared" si="13"/>
        <v/>
      </c>
      <c r="G42" s="71" t="str">
        <f t="shared" si="13"/>
        <v/>
      </c>
      <c r="H42" s="71" t="str">
        <f t="shared" si="13"/>
        <v/>
      </c>
      <c r="I42" s="71" t="str">
        <f t="shared" si="13"/>
        <v/>
      </c>
      <c r="J42" s="71" t="str">
        <f t="shared" si="13"/>
        <v/>
      </c>
      <c r="K42" s="71" t="str">
        <f t="shared" si="13"/>
        <v/>
      </c>
      <c r="L42" s="71" t="str">
        <f t="shared" si="13"/>
        <v/>
      </c>
      <c r="M42" s="71" t="str">
        <f t="shared" si="13"/>
        <v/>
      </c>
      <c r="N42" s="71" t="str">
        <f t="shared" si="13"/>
        <v/>
      </c>
      <c r="O42" s="71" t="str">
        <f t="shared" si="13"/>
        <v/>
      </c>
      <c r="P42" s="71" t="str">
        <f t="shared" si="13"/>
        <v/>
      </c>
      <c r="Q42" s="71" t="str">
        <f t="shared" si="13"/>
        <v/>
      </c>
      <c r="R42" s="71" t="str">
        <f t="shared" si="13"/>
        <v/>
      </c>
      <c r="S42" s="71" t="str">
        <f t="shared" si="13"/>
        <v/>
      </c>
      <c r="T42" s="71" t="str">
        <f t="shared" si="13"/>
        <v/>
      </c>
      <c r="U42" s="71" t="str">
        <f t="shared" si="13"/>
        <v/>
      </c>
      <c r="V42" s="71" t="str">
        <f t="shared" si="13"/>
        <v/>
      </c>
      <c r="AM42" s="24"/>
      <c r="AN42" s="24"/>
    </row>
    <row r="43" spans="1:40" x14ac:dyDescent="0.3">
      <c r="A43" s="65" t="s">
        <v>234</v>
      </c>
      <c r="B43" s="66" t="s">
        <v>9</v>
      </c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</row>
    <row r="44" spans="1:40" hidden="1" x14ac:dyDescent="0.3">
      <c r="A44" s="57"/>
      <c r="B44" s="58"/>
      <c r="C44" s="58"/>
      <c r="D44" s="58"/>
      <c r="E44" s="58"/>
      <c r="F44" s="58"/>
      <c r="G44" s="58"/>
      <c r="H44" s="58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</row>
    <row r="45" spans="1:40" hidden="1" x14ac:dyDescent="0.3">
      <c r="C45" s="24" t="str">
        <f t="shared" ref="C45:V45" si="14">IF(AND(C18=$AP$14,C12=$AB$3),"ERROR","")</f>
        <v/>
      </c>
      <c r="D45" s="24" t="str">
        <f t="shared" si="14"/>
        <v/>
      </c>
      <c r="E45" s="24" t="str">
        <f t="shared" si="14"/>
        <v/>
      </c>
      <c r="F45" s="24" t="str">
        <f t="shared" si="14"/>
        <v/>
      </c>
      <c r="G45" s="24" t="str">
        <f t="shared" si="14"/>
        <v/>
      </c>
      <c r="H45" s="24" t="str">
        <f t="shared" si="14"/>
        <v/>
      </c>
      <c r="I45" s="24" t="str">
        <f t="shared" si="14"/>
        <v/>
      </c>
      <c r="J45" s="24" t="str">
        <f t="shared" si="14"/>
        <v/>
      </c>
      <c r="K45" s="24" t="str">
        <f t="shared" si="14"/>
        <v/>
      </c>
      <c r="L45" s="24" t="str">
        <f t="shared" si="14"/>
        <v/>
      </c>
      <c r="M45" s="24" t="str">
        <f t="shared" si="14"/>
        <v/>
      </c>
      <c r="N45" s="24" t="str">
        <f t="shared" si="14"/>
        <v/>
      </c>
      <c r="O45" s="24" t="str">
        <f t="shared" si="14"/>
        <v/>
      </c>
      <c r="P45" s="24" t="str">
        <f t="shared" si="14"/>
        <v/>
      </c>
      <c r="Q45" s="24" t="str">
        <f t="shared" si="14"/>
        <v/>
      </c>
      <c r="R45" s="24" t="str">
        <f t="shared" si="14"/>
        <v/>
      </c>
      <c r="S45" s="24" t="str">
        <f t="shared" si="14"/>
        <v/>
      </c>
      <c r="T45" s="24" t="str">
        <f t="shared" si="14"/>
        <v/>
      </c>
      <c r="U45" s="24" t="str">
        <f t="shared" si="14"/>
        <v/>
      </c>
      <c r="V45" s="24" t="str">
        <f t="shared" si="14"/>
        <v/>
      </c>
    </row>
    <row r="46" spans="1:40" hidden="1" x14ac:dyDescent="0.3">
      <c r="C46" s="24" t="str">
        <f t="shared" ref="C46:V46" si="15">IF(AND(C18=$AP$14,C12=$AC$3),"ERROR","")</f>
        <v/>
      </c>
      <c r="D46" s="24" t="str">
        <f t="shared" si="15"/>
        <v/>
      </c>
      <c r="E46" s="24" t="str">
        <f t="shared" si="15"/>
        <v/>
      </c>
      <c r="F46" s="24" t="str">
        <f t="shared" si="15"/>
        <v/>
      </c>
      <c r="G46" s="24" t="str">
        <f t="shared" si="15"/>
        <v/>
      </c>
      <c r="H46" s="24" t="str">
        <f t="shared" si="15"/>
        <v/>
      </c>
      <c r="I46" s="24" t="str">
        <f t="shared" si="15"/>
        <v/>
      </c>
      <c r="J46" s="24" t="str">
        <f t="shared" si="15"/>
        <v/>
      </c>
      <c r="K46" s="24" t="str">
        <f t="shared" si="15"/>
        <v/>
      </c>
      <c r="L46" s="24" t="str">
        <f t="shared" si="15"/>
        <v/>
      </c>
      <c r="M46" s="24" t="str">
        <f t="shared" si="15"/>
        <v/>
      </c>
      <c r="N46" s="24" t="str">
        <f t="shared" si="15"/>
        <v/>
      </c>
      <c r="O46" s="24" t="str">
        <f t="shared" si="15"/>
        <v/>
      </c>
      <c r="P46" s="24" t="str">
        <f t="shared" si="15"/>
        <v/>
      </c>
      <c r="Q46" s="24" t="str">
        <f t="shared" si="15"/>
        <v/>
      </c>
      <c r="R46" s="24" t="str">
        <f t="shared" si="15"/>
        <v/>
      </c>
      <c r="S46" s="24" t="str">
        <f t="shared" si="15"/>
        <v/>
      </c>
      <c r="T46" s="24" t="str">
        <f t="shared" si="15"/>
        <v/>
      </c>
      <c r="U46" s="24" t="str">
        <f t="shared" si="15"/>
        <v/>
      </c>
      <c r="V46" s="24" t="str">
        <f t="shared" si="15"/>
        <v/>
      </c>
    </row>
    <row r="47" spans="1:40" hidden="1" x14ac:dyDescent="0.3">
      <c r="C47" s="24" t="str">
        <f t="shared" ref="C47:V47" si="16">IF(AND(C18=$AP$14,C12=$AD$3),"ERROR","")</f>
        <v/>
      </c>
      <c r="D47" s="24" t="str">
        <f t="shared" si="16"/>
        <v/>
      </c>
      <c r="E47" s="24" t="str">
        <f t="shared" si="16"/>
        <v/>
      </c>
      <c r="F47" s="24" t="str">
        <f t="shared" si="16"/>
        <v/>
      </c>
      <c r="G47" s="24" t="str">
        <f t="shared" si="16"/>
        <v/>
      </c>
      <c r="H47" s="24" t="str">
        <f t="shared" si="16"/>
        <v/>
      </c>
      <c r="I47" s="24" t="str">
        <f t="shared" si="16"/>
        <v/>
      </c>
      <c r="J47" s="24" t="str">
        <f t="shared" si="16"/>
        <v/>
      </c>
      <c r="K47" s="24" t="str">
        <f t="shared" si="16"/>
        <v/>
      </c>
      <c r="L47" s="24" t="str">
        <f t="shared" si="16"/>
        <v/>
      </c>
      <c r="M47" s="24" t="str">
        <f t="shared" si="16"/>
        <v/>
      </c>
      <c r="N47" s="24" t="str">
        <f t="shared" si="16"/>
        <v/>
      </c>
      <c r="O47" s="24" t="str">
        <f t="shared" si="16"/>
        <v/>
      </c>
      <c r="P47" s="24" t="str">
        <f t="shared" si="16"/>
        <v/>
      </c>
      <c r="Q47" s="24" t="str">
        <f t="shared" si="16"/>
        <v/>
      </c>
      <c r="R47" s="24" t="str">
        <f t="shared" si="16"/>
        <v/>
      </c>
      <c r="S47" s="24" t="str">
        <f t="shared" si="16"/>
        <v/>
      </c>
      <c r="T47" s="24" t="str">
        <f t="shared" si="16"/>
        <v/>
      </c>
      <c r="U47" s="24" t="str">
        <f t="shared" si="16"/>
        <v/>
      </c>
      <c r="V47" s="24" t="str">
        <f t="shared" si="16"/>
        <v/>
      </c>
    </row>
    <row r="48" spans="1:40" hidden="1" x14ac:dyDescent="0.3">
      <c r="C48" s="24" t="str">
        <f t="shared" ref="C48:V48" si="17">IF(AND(C18=$AP$14,C12=$AF$3),"ERROR","")</f>
        <v/>
      </c>
      <c r="D48" s="24" t="str">
        <f t="shared" si="17"/>
        <v/>
      </c>
      <c r="E48" s="24" t="str">
        <f t="shared" si="17"/>
        <v/>
      </c>
      <c r="F48" s="24" t="str">
        <f t="shared" si="17"/>
        <v/>
      </c>
      <c r="G48" s="24" t="str">
        <f t="shared" si="17"/>
        <v/>
      </c>
      <c r="H48" s="24" t="str">
        <f t="shared" si="17"/>
        <v/>
      </c>
      <c r="I48" s="24" t="str">
        <f t="shared" si="17"/>
        <v/>
      </c>
      <c r="J48" s="24" t="str">
        <f t="shared" si="17"/>
        <v/>
      </c>
      <c r="K48" s="24" t="str">
        <f t="shared" si="17"/>
        <v/>
      </c>
      <c r="L48" s="24" t="str">
        <f t="shared" si="17"/>
        <v/>
      </c>
      <c r="M48" s="24" t="str">
        <f t="shared" si="17"/>
        <v/>
      </c>
      <c r="N48" s="24" t="str">
        <f t="shared" si="17"/>
        <v/>
      </c>
      <c r="O48" s="24" t="str">
        <f t="shared" si="17"/>
        <v/>
      </c>
      <c r="P48" s="24" t="str">
        <f t="shared" si="17"/>
        <v/>
      </c>
      <c r="Q48" s="24" t="str">
        <f t="shared" si="17"/>
        <v/>
      </c>
      <c r="R48" s="24" t="str">
        <f t="shared" si="17"/>
        <v/>
      </c>
      <c r="S48" s="24" t="str">
        <f t="shared" si="17"/>
        <v/>
      </c>
      <c r="T48" s="24" t="str">
        <f t="shared" si="17"/>
        <v/>
      </c>
      <c r="U48" s="24" t="str">
        <f t="shared" si="17"/>
        <v/>
      </c>
      <c r="V48" s="24" t="str">
        <f t="shared" si="17"/>
        <v/>
      </c>
    </row>
    <row r="49" spans="3:22" hidden="1" x14ac:dyDescent="0.3">
      <c r="C49" s="24" t="str">
        <f t="shared" ref="C49:V49" si="18">IF(AND(C18=$AP$14,C12=$AG$3),"ERROR","")</f>
        <v/>
      </c>
      <c r="D49" s="24" t="str">
        <f t="shared" si="18"/>
        <v/>
      </c>
      <c r="E49" s="24" t="str">
        <f t="shared" si="18"/>
        <v/>
      </c>
      <c r="F49" s="24" t="str">
        <f t="shared" si="18"/>
        <v/>
      </c>
      <c r="G49" s="24" t="str">
        <f t="shared" si="18"/>
        <v/>
      </c>
      <c r="H49" s="24" t="str">
        <f t="shared" si="18"/>
        <v/>
      </c>
      <c r="I49" s="24" t="str">
        <f t="shared" si="18"/>
        <v/>
      </c>
      <c r="J49" s="24" t="str">
        <f t="shared" si="18"/>
        <v/>
      </c>
      <c r="K49" s="24" t="str">
        <f t="shared" si="18"/>
        <v/>
      </c>
      <c r="L49" s="24" t="str">
        <f t="shared" si="18"/>
        <v/>
      </c>
      <c r="M49" s="24" t="str">
        <f t="shared" si="18"/>
        <v/>
      </c>
      <c r="N49" s="24" t="str">
        <f t="shared" si="18"/>
        <v/>
      </c>
      <c r="O49" s="24" t="str">
        <f t="shared" si="18"/>
        <v/>
      </c>
      <c r="P49" s="24" t="str">
        <f t="shared" si="18"/>
        <v/>
      </c>
      <c r="Q49" s="24" t="str">
        <f t="shared" si="18"/>
        <v/>
      </c>
      <c r="R49" s="24" t="str">
        <f t="shared" si="18"/>
        <v/>
      </c>
      <c r="S49" s="24" t="str">
        <f t="shared" si="18"/>
        <v/>
      </c>
      <c r="T49" s="24" t="str">
        <f t="shared" si="18"/>
        <v/>
      </c>
      <c r="U49" s="24" t="str">
        <f t="shared" si="18"/>
        <v/>
      </c>
      <c r="V49" s="24" t="str">
        <f t="shared" si="18"/>
        <v/>
      </c>
    </row>
    <row r="50" spans="3:22" hidden="1" x14ac:dyDescent="0.3">
      <c r="C50" s="24" t="str">
        <f>IF(AND(C31=1,C34=0),"MM","")</f>
        <v/>
      </c>
    </row>
    <row r="51" spans="3:22" hidden="1" x14ac:dyDescent="0.3">
      <c r="C51" s="24" t="str">
        <f>IF(AND(C31=2,C35=0),"MM","")</f>
        <v/>
      </c>
    </row>
    <row r="52" spans="3:22" hidden="1" x14ac:dyDescent="0.3">
      <c r="C52" s="24" t="str">
        <f>IF(AND(C31=3,C36=0),"MM","")</f>
        <v/>
      </c>
    </row>
    <row r="53" spans="3:22" hidden="1" x14ac:dyDescent="0.3">
      <c r="C53" s="24" t="str">
        <f>IF(AND(C31=4,C37=0),"MM","")</f>
        <v/>
      </c>
    </row>
    <row r="54" spans="3:22" hidden="1" x14ac:dyDescent="0.3">
      <c r="C54" s="24" t="str">
        <f>IF(AND(C31=5,C38=0),"MM","")</f>
        <v/>
      </c>
    </row>
    <row r="55" spans="3:22" hidden="1" x14ac:dyDescent="0.3">
      <c r="C55" s="24" t="str">
        <f t="shared" ref="C55:V55" si="19">IF(AND(C31=1,C34=0),"HINGE","")</f>
        <v/>
      </c>
      <c r="D55" s="24" t="str">
        <f>IF(AND(D31=1,D34=0),"HINGE","")</f>
        <v/>
      </c>
      <c r="E55" s="24" t="str">
        <f t="shared" si="19"/>
        <v/>
      </c>
      <c r="F55" s="24" t="str">
        <f t="shared" si="19"/>
        <v/>
      </c>
      <c r="G55" s="24" t="str">
        <f t="shared" si="19"/>
        <v/>
      </c>
      <c r="H55" s="24" t="str">
        <f t="shared" si="19"/>
        <v/>
      </c>
      <c r="I55" s="24" t="str">
        <f t="shared" si="19"/>
        <v/>
      </c>
      <c r="J55" s="24" t="str">
        <f t="shared" si="19"/>
        <v/>
      </c>
      <c r="K55" s="24" t="str">
        <f t="shared" si="19"/>
        <v/>
      </c>
      <c r="L55" s="24" t="str">
        <f t="shared" si="19"/>
        <v/>
      </c>
      <c r="M55" s="24" t="str">
        <f t="shared" si="19"/>
        <v/>
      </c>
      <c r="N55" s="24" t="str">
        <f t="shared" si="19"/>
        <v/>
      </c>
      <c r="O55" s="24" t="str">
        <f t="shared" si="19"/>
        <v/>
      </c>
      <c r="P55" s="24" t="str">
        <f t="shared" si="19"/>
        <v/>
      </c>
      <c r="Q55" s="24" t="str">
        <f t="shared" si="19"/>
        <v/>
      </c>
      <c r="R55" s="24" t="str">
        <f t="shared" si="19"/>
        <v/>
      </c>
      <c r="S55" s="24" t="str">
        <f t="shared" si="19"/>
        <v/>
      </c>
      <c r="T55" s="24" t="str">
        <f t="shared" si="19"/>
        <v/>
      </c>
      <c r="U55" s="24" t="str">
        <f t="shared" si="19"/>
        <v/>
      </c>
      <c r="V55" s="24" t="str">
        <f t="shared" si="19"/>
        <v/>
      </c>
    </row>
    <row r="56" spans="3:22" hidden="1" x14ac:dyDescent="0.3">
      <c r="C56" s="24" t="str">
        <f t="shared" ref="C56:V56" si="20">IF(AND(C31=2,C35=0),"HINGE","")</f>
        <v/>
      </c>
      <c r="D56" s="24" t="str">
        <f>IF(AND(D31=2,D35=0),"HINGE","")</f>
        <v/>
      </c>
      <c r="E56" s="24" t="str">
        <f t="shared" si="20"/>
        <v/>
      </c>
      <c r="F56" s="24" t="str">
        <f t="shared" si="20"/>
        <v/>
      </c>
      <c r="G56" s="24" t="str">
        <f t="shared" si="20"/>
        <v/>
      </c>
      <c r="H56" s="24" t="str">
        <f t="shared" si="20"/>
        <v/>
      </c>
      <c r="I56" s="24" t="str">
        <f t="shared" si="20"/>
        <v/>
      </c>
      <c r="J56" s="24" t="str">
        <f t="shared" si="20"/>
        <v/>
      </c>
      <c r="K56" s="24" t="str">
        <f t="shared" si="20"/>
        <v/>
      </c>
      <c r="L56" s="24" t="str">
        <f t="shared" si="20"/>
        <v/>
      </c>
      <c r="M56" s="24" t="str">
        <f t="shared" si="20"/>
        <v/>
      </c>
      <c r="N56" s="24" t="str">
        <f t="shared" si="20"/>
        <v/>
      </c>
      <c r="O56" s="24" t="str">
        <f t="shared" si="20"/>
        <v/>
      </c>
      <c r="P56" s="24" t="str">
        <f t="shared" si="20"/>
        <v/>
      </c>
      <c r="Q56" s="24" t="str">
        <f t="shared" si="20"/>
        <v/>
      </c>
      <c r="R56" s="24" t="str">
        <f t="shared" si="20"/>
        <v/>
      </c>
      <c r="S56" s="24" t="str">
        <f t="shared" si="20"/>
        <v/>
      </c>
      <c r="T56" s="24" t="str">
        <f t="shared" si="20"/>
        <v/>
      </c>
      <c r="U56" s="24" t="str">
        <f t="shared" si="20"/>
        <v/>
      </c>
      <c r="V56" s="24" t="str">
        <f t="shared" si="20"/>
        <v/>
      </c>
    </row>
    <row r="57" spans="3:22" hidden="1" x14ac:dyDescent="0.3">
      <c r="C57" s="24" t="str">
        <f t="shared" ref="C57:V57" si="21">IF(AND(C31=3,C36=0),"HINGE","")</f>
        <v/>
      </c>
      <c r="D57" s="24" t="str">
        <f>IF(AND(D31=3,D36=0),"HINGE","")</f>
        <v/>
      </c>
      <c r="E57" s="24" t="str">
        <f t="shared" si="21"/>
        <v/>
      </c>
      <c r="F57" s="24" t="str">
        <f t="shared" si="21"/>
        <v/>
      </c>
      <c r="G57" s="24" t="str">
        <f t="shared" si="21"/>
        <v/>
      </c>
      <c r="H57" s="24" t="str">
        <f t="shared" si="21"/>
        <v/>
      </c>
      <c r="I57" s="24" t="str">
        <f t="shared" si="21"/>
        <v/>
      </c>
      <c r="J57" s="24" t="str">
        <f t="shared" si="21"/>
        <v/>
      </c>
      <c r="K57" s="24" t="str">
        <f t="shared" si="21"/>
        <v/>
      </c>
      <c r="L57" s="24" t="str">
        <f t="shared" si="21"/>
        <v/>
      </c>
      <c r="M57" s="24" t="str">
        <f t="shared" si="21"/>
        <v/>
      </c>
      <c r="N57" s="24" t="str">
        <f t="shared" si="21"/>
        <v/>
      </c>
      <c r="O57" s="24" t="str">
        <f t="shared" si="21"/>
        <v/>
      </c>
      <c r="P57" s="24" t="str">
        <f t="shared" si="21"/>
        <v/>
      </c>
      <c r="Q57" s="24" t="str">
        <f t="shared" si="21"/>
        <v/>
      </c>
      <c r="R57" s="24" t="str">
        <f t="shared" si="21"/>
        <v/>
      </c>
      <c r="S57" s="24" t="str">
        <f t="shared" si="21"/>
        <v/>
      </c>
      <c r="T57" s="24" t="str">
        <f t="shared" si="21"/>
        <v/>
      </c>
      <c r="U57" s="24" t="str">
        <f t="shared" si="21"/>
        <v/>
      </c>
      <c r="V57" s="24" t="str">
        <f t="shared" si="21"/>
        <v/>
      </c>
    </row>
    <row r="58" spans="3:22" hidden="1" x14ac:dyDescent="0.3">
      <c r="C58" s="24" t="str">
        <f t="shared" ref="C58:V58" si="22">IF(AND(C31=4,C37=0),"HINGE","")</f>
        <v/>
      </c>
      <c r="D58" s="24" t="str">
        <f>IF(AND(D31=4,D37=0),"HINGE","")</f>
        <v/>
      </c>
      <c r="E58" s="24" t="str">
        <f t="shared" si="22"/>
        <v/>
      </c>
      <c r="F58" s="24" t="str">
        <f t="shared" si="22"/>
        <v/>
      </c>
      <c r="G58" s="24" t="str">
        <f t="shared" si="22"/>
        <v/>
      </c>
      <c r="H58" s="24" t="str">
        <f t="shared" si="22"/>
        <v/>
      </c>
      <c r="I58" s="24" t="str">
        <f t="shared" si="22"/>
        <v/>
      </c>
      <c r="J58" s="24" t="str">
        <f t="shared" si="22"/>
        <v/>
      </c>
      <c r="K58" s="24" t="str">
        <f t="shared" si="22"/>
        <v/>
      </c>
      <c r="L58" s="24" t="str">
        <f t="shared" si="22"/>
        <v/>
      </c>
      <c r="M58" s="24" t="str">
        <f t="shared" si="22"/>
        <v/>
      </c>
      <c r="N58" s="24" t="str">
        <f t="shared" si="22"/>
        <v/>
      </c>
      <c r="O58" s="24" t="str">
        <f t="shared" si="22"/>
        <v/>
      </c>
      <c r="P58" s="24" t="str">
        <f t="shared" si="22"/>
        <v/>
      </c>
      <c r="Q58" s="24" t="str">
        <f t="shared" si="22"/>
        <v/>
      </c>
      <c r="R58" s="24" t="str">
        <f t="shared" si="22"/>
        <v/>
      </c>
      <c r="S58" s="24" t="str">
        <f t="shared" si="22"/>
        <v/>
      </c>
      <c r="T58" s="24" t="str">
        <f t="shared" si="22"/>
        <v/>
      </c>
      <c r="U58" s="24" t="str">
        <f t="shared" si="22"/>
        <v/>
      </c>
      <c r="V58" s="24" t="str">
        <f t="shared" si="22"/>
        <v/>
      </c>
    </row>
    <row r="59" spans="3:22" hidden="1" x14ac:dyDescent="0.3">
      <c r="C59" s="24" t="str">
        <f t="shared" ref="C59:V59" si="23">IF(AND(C31=5,C38=0),"HINGE","")</f>
        <v/>
      </c>
      <c r="D59" s="24" t="str">
        <f>IF(AND(D31=5,D38=0),"HINGE","")</f>
        <v/>
      </c>
      <c r="E59" s="24" t="str">
        <f t="shared" si="23"/>
        <v/>
      </c>
      <c r="F59" s="24" t="str">
        <f t="shared" si="23"/>
        <v/>
      </c>
      <c r="G59" s="24" t="str">
        <f t="shared" si="23"/>
        <v/>
      </c>
      <c r="H59" s="24" t="str">
        <f t="shared" si="23"/>
        <v/>
      </c>
      <c r="I59" s="24" t="str">
        <f t="shared" si="23"/>
        <v/>
      </c>
      <c r="J59" s="24" t="str">
        <f t="shared" si="23"/>
        <v/>
      </c>
      <c r="K59" s="24" t="str">
        <f t="shared" si="23"/>
        <v/>
      </c>
      <c r="L59" s="24" t="str">
        <f t="shared" si="23"/>
        <v/>
      </c>
      <c r="M59" s="24" t="str">
        <f t="shared" si="23"/>
        <v/>
      </c>
      <c r="N59" s="24" t="str">
        <f t="shared" si="23"/>
        <v/>
      </c>
      <c r="O59" s="24" t="str">
        <f t="shared" si="23"/>
        <v/>
      </c>
      <c r="P59" s="24" t="str">
        <f t="shared" si="23"/>
        <v/>
      </c>
      <c r="Q59" s="24" t="str">
        <f t="shared" si="23"/>
        <v/>
      </c>
      <c r="R59" s="24" t="str">
        <f t="shared" si="23"/>
        <v/>
      </c>
      <c r="S59" s="24" t="str">
        <f t="shared" si="23"/>
        <v/>
      </c>
      <c r="T59" s="24" t="str">
        <f t="shared" si="23"/>
        <v/>
      </c>
      <c r="U59" s="24" t="str">
        <f t="shared" si="23"/>
        <v/>
      </c>
      <c r="V59" s="24" t="str">
        <f t="shared" si="23"/>
        <v/>
      </c>
    </row>
    <row r="60" spans="3:22" hidden="1" x14ac:dyDescent="0.3">
      <c r="C60" s="24">
        <f>COUNTA(C34:C38)</f>
        <v>0</v>
      </c>
      <c r="D60" s="24">
        <f t="shared" ref="D60:V60" si="24">COUNTA(D34:D38)</f>
        <v>0</v>
      </c>
      <c r="E60" s="24">
        <f t="shared" si="24"/>
        <v>0</v>
      </c>
      <c r="F60" s="24">
        <f t="shared" si="24"/>
        <v>0</v>
      </c>
      <c r="G60" s="24">
        <f t="shared" si="24"/>
        <v>0</v>
      </c>
      <c r="H60" s="24">
        <f t="shared" si="24"/>
        <v>0</v>
      </c>
      <c r="I60" s="24">
        <f t="shared" si="24"/>
        <v>0</v>
      </c>
      <c r="J60" s="24">
        <f t="shared" si="24"/>
        <v>0</v>
      </c>
      <c r="K60" s="24">
        <f t="shared" si="24"/>
        <v>0</v>
      </c>
      <c r="L60" s="24">
        <f t="shared" si="24"/>
        <v>0</v>
      </c>
      <c r="M60" s="24">
        <f t="shared" si="24"/>
        <v>0</v>
      </c>
      <c r="N60" s="24">
        <f t="shared" si="24"/>
        <v>0</v>
      </c>
      <c r="O60" s="24">
        <f t="shared" si="24"/>
        <v>0</v>
      </c>
      <c r="P60" s="24">
        <f t="shared" si="24"/>
        <v>0</v>
      </c>
      <c r="Q60" s="24">
        <f t="shared" si="24"/>
        <v>0</v>
      </c>
      <c r="R60" s="24">
        <f t="shared" si="24"/>
        <v>0</v>
      </c>
      <c r="S60" s="24">
        <f t="shared" si="24"/>
        <v>0</v>
      </c>
      <c r="T60" s="24">
        <f t="shared" si="24"/>
        <v>0</v>
      </c>
      <c r="U60" s="24">
        <f t="shared" si="24"/>
        <v>0</v>
      </c>
      <c r="V60" s="24">
        <f t="shared" si="24"/>
        <v>0</v>
      </c>
    </row>
    <row r="61" spans="3:22" hidden="1" x14ac:dyDescent="0.3">
      <c r="C61" s="24">
        <f>COUNTA(C40:C41)</f>
        <v>0</v>
      </c>
      <c r="D61" s="24">
        <f>COUNTA(D40:D41)</f>
        <v>0</v>
      </c>
      <c r="E61" s="24">
        <f t="shared" ref="E61:V61" si="25">COUNTA(E40:E41)</f>
        <v>0</v>
      </c>
      <c r="F61" s="24">
        <f t="shared" si="25"/>
        <v>0</v>
      </c>
      <c r="G61" s="24">
        <f t="shared" si="25"/>
        <v>0</v>
      </c>
      <c r="H61" s="24">
        <f t="shared" si="25"/>
        <v>0</v>
      </c>
      <c r="I61" s="24">
        <f t="shared" si="25"/>
        <v>0</v>
      </c>
      <c r="J61" s="24">
        <f t="shared" si="25"/>
        <v>0</v>
      </c>
      <c r="K61" s="24">
        <f t="shared" si="25"/>
        <v>0</v>
      </c>
      <c r="L61" s="24">
        <f t="shared" si="25"/>
        <v>0</v>
      </c>
      <c r="M61" s="24">
        <f t="shared" si="25"/>
        <v>0</v>
      </c>
      <c r="N61" s="24">
        <f t="shared" si="25"/>
        <v>0</v>
      </c>
      <c r="O61" s="24">
        <f t="shared" si="25"/>
        <v>0</v>
      </c>
      <c r="P61" s="24">
        <f t="shared" si="25"/>
        <v>0</v>
      </c>
      <c r="Q61" s="24">
        <f t="shared" si="25"/>
        <v>0</v>
      </c>
      <c r="R61" s="24">
        <f t="shared" si="25"/>
        <v>0</v>
      </c>
      <c r="S61" s="24">
        <f t="shared" si="25"/>
        <v>0</v>
      </c>
      <c r="T61" s="24">
        <f t="shared" si="25"/>
        <v>0</v>
      </c>
      <c r="U61" s="24">
        <f t="shared" si="25"/>
        <v>0</v>
      </c>
      <c r="V61" s="24">
        <f t="shared" si="25"/>
        <v>0</v>
      </c>
    </row>
    <row r="62" spans="3:22" hidden="1" x14ac:dyDescent="0.3">
      <c r="C62" s="24">
        <f>COUNTA(C27:C29)</f>
        <v>0</v>
      </c>
      <c r="D62" s="24">
        <f t="shared" ref="D62:V62" si="26">COUNTA(D27:D29)</f>
        <v>0</v>
      </c>
      <c r="E62" s="24">
        <f t="shared" si="26"/>
        <v>0</v>
      </c>
      <c r="F62" s="24">
        <f t="shared" si="26"/>
        <v>0</v>
      </c>
      <c r="G62" s="24">
        <f t="shared" si="26"/>
        <v>0</v>
      </c>
      <c r="H62" s="24">
        <f t="shared" si="26"/>
        <v>0</v>
      </c>
      <c r="I62" s="24">
        <f t="shared" si="26"/>
        <v>0</v>
      </c>
      <c r="J62" s="24">
        <f t="shared" si="26"/>
        <v>0</v>
      </c>
      <c r="K62" s="24">
        <f t="shared" si="26"/>
        <v>0</v>
      </c>
      <c r="L62" s="24">
        <f t="shared" si="26"/>
        <v>0</v>
      </c>
      <c r="M62" s="24">
        <f t="shared" si="26"/>
        <v>0</v>
      </c>
      <c r="N62" s="24">
        <f t="shared" si="26"/>
        <v>0</v>
      </c>
      <c r="O62" s="24">
        <f t="shared" si="26"/>
        <v>0</v>
      </c>
      <c r="P62" s="24">
        <f t="shared" si="26"/>
        <v>0</v>
      </c>
      <c r="Q62" s="24">
        <f t="shared" si="26"/>
        <v>0</v>
      </c>
      <c r="R62" s="24">
        <f t="shared" si="26"/>
        <v>0</v>
      </c>
      <c r="S62" s="24">
        <f t="shared" si="26"/>
        <v>0</v>
      </c>
      <c r="T62" s="24">
        <f t="shared" si="26"/>
        <v>0</v>
      </c>
      <c r="U62" s="24">
        <f t="shared" si="26"/>
        <v>0</v>
      </c>
      <c r="V62" s="24">
        <f t="shared" si="26"/>
        <v>0</v>
      </c>
    </row>
    <row r="63" spans="3:22" hidden="1" x14ac:dyDescent="0.3">
      <c r="C63" s="24" t="str">
        <f>IF(OR(C18=$AF$14,C18=$AG$14,C18=$AH$14,C18=$AI$14,C18=$AJ$14,C18=$AK$14,C18=$AL$14,C18=$AM$14,C18=$AN$14,C18=$AO$14,C18=$AP$14),"COL","")</f>
        <v/>
      </c>
      <c r="D63" s="24" t="str">
        <f t="shared" ref="D63:V63" si="27">IF(OR(D18=$AF$14,D18=$AG$14,D18=$AH$14,D18=$AI$14,D18=$AJ$14,D18=$AK$14,D18=$AL$14,D18=$AM$14,D18=$AN$14,D18=$AO$14,D18=$AP$14),"COL","")</f>
        <v/>
      </c>
      <c r="E63" s="24" t="str">
        <f t="shared" si="27"/>
        <v/>
      </c>
      <c r="F63" s="24" t="str">
        <f t="shared" si="27"/>
        <v/>
      </c>
      <c r="G63" s="24" t="str">
        <f t="shared" si="27"/>
        <v/>
      </c>
      <c r="H63" s="24" t="str">
        <f t="shared" si="27"/>
        <v/>
      </c>
      <c r="I63" s="24" t="str">
        <f t="shared" si="27"/>
        <v/>
      </c>
      <c r="J63" s="24" t="str">
        <f t="shared" si="27"/>
        <v/>
      </c>
      <c r="K63" s="24" t="str">
        <f t="shared" si="27"/>
        <v/>
      </c>
      <c r="L63" s="24" t="str">
        <f t="shared" si="27"/>
        <v/>
      </c>
      <c r="M63" s="24" t="str">
        <f t="shared" si="27"/>
        <v/>
      </c>
      <c r="N63" s="24" t="str">
        <f t="shared" si="27"/>
        <v/>
      </c>
      <c r="O63" s="24" t="str">
        <f t="shared" si="27"/>
        <v/>
      </c>
      <c r="P63" s="24" t="str">
        <f t="shared" si="27"/>
        <v/>
      </c>
      <c r="Q63" s="24" t="str">
        <f t="shared" si="27"/>
        <v/>
      </c>
      <c r="R63" s="24" t="str">
        <f t="shared" si="27"/>
        <v/>
      </c>
      <c r="S63" s="24" t="str">
        <f t="shared" si="27"/>
        <v/>
      </c>
      <c r="T63" s="24" t="str">
        <f t="shared" si="27"/>
        <v/>
      </c>
      <c r="U63" s="24" t="str">
        <f t="shared" si="27"/>
        <v/>
      </c>
      <c r="V63" s="24" t="str">
        <f t="shared" si="27"/>
        <v/>
      </c>
    </row>
    <row r="64" spans="3:22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0" hidden="1" x14ac:dyDescent="0.3"/>
    <row r="71" hidden="1" x14ac:dyDescent="0.3"/>
    <row r="72" hidden="1" x14ac:dyDescent="0.3"/>
    <row r="73" hidden="1" x14ac:dyDescent="0.3"/>
    <row r="74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2" hidden="1" x14ac:dyDescent="0.3"/>
    <row r="83" hidden="1" x14ac:dyDescent="0.3"/>
    <row r="84" hidden="1" x14ac:dyDescent="0.3"/>
    <row r="85" hidden="1" x14ac:dyDescent="0.3"/>
    <row r="86" hidden="1" x14ac:dyDescent="0.3"/>
    <row r="87" hidden="1" x14ac:dyDescent="0.3"/>
    <row r="88" hidden="1" x14ac:dyDescent="0.3"/>
    <row r="89" hidden="1" x14ac:dyDescent="0.3"/>
    <row r="90" hidden="1" x14ac:dyDescent="0.3"/>
    <row r="91" hidden="1" x14ac:dyDescent="0.3"/>
    <row r="92" hidden="1" x14ac:dyDescent="0.3"/>
    <row r="93" hidden="1" x14ac:dyDescent="0.3"/>
    <row r="94" hidden="1" x14ac:dyDescent="0.3"/>
    <row r="95" hidden="1" x14ac:dyDescent="0.3"/>
    <row r="96" hidden="1" x14ac:dyDescent="0.3"/>
    <row r="97" hidden="1" x14ac:dyDescent="0.3"/>
    <row r="98" hidden="1" x14ac:dyDescent="0.3"/>
    <row r="99" hidden="1" x14ac:dyDescent="0.3"/>
    <row r="100" hidden="1" x14ac:dyDescent="0.3"/>
    <row r="101" hidden="1" x14ac:dyDescent="0.3"/>
    <row r="102" hidden="1" x14ac:dyDescent="0.3"/>
    <row r="103" hidden="1" x14ac:dyDescent="0.3"/>
    <row r="104" hidden="1" x14ac:dyDescent="0.3"/>
    <row r="105" hidden="1" x14ac:dyDescent="0.3"/>
    <row r="106" hidden="1" x14ac:dyDescent="0.3"/>
    <row r="107" hidden="1" x14ac:dyDescent="0.3"/>
    <row r="108" hidden="1" x14ac:dyDescent="0.3"/>
    <row r="109" hidden="1" x14ac:dyDescent="0.3"/>
    <row r="110" hidden="1" x14ac:dyDescent="0.3"/>
  </sheetData>
  <sheetProtection algorithmName="SHA-512" hashValue="7zArSQqO4kUjJ4jMolROtnVU1Sn4rC/9s+vw/Csb+Ti+eOhgncbLh5ItJYL6ZhvxJXeImaFdmgZ/723I5ot8uw==" saltValue="472ERk4AIslr2JP+uGh8xQ==" spinCount="100000" sheet="1" selectLockedCells="1"/>
  <mergeCells count="2">
    <mergeCell ref="A1:L1"/>
    <mergeCell ref="A2:L2"/>
  </mergeCells>
  <dataValidations count="12">
    <dataValidation type="list" allowBlank="1" showInputMessage="1" showErrorMessage="1" sqref="C10:V10 C28:V28 C19:V19" xr:uid="{00000000-0002-0000-0000-000000000000}">
      <formula1>INDIRECT(C9)</formula1>
    </dataValidation>
    <dataValidation type="list" allowBlank="1" showInputMessage="1" showErrorMessage="1" sqref="C13:V13" xr:uid="{00000000-0002-0000-0000-000001000000}">
      <formula1>INDIRECT(C$12)</formula1>
    </dataValidation>
    <dataValidation type="list" allowBlank="1" showInputMessage="1" showErrorMessage="1" sqref="C29:V29" xr:uid="{00000000-0002-0000-0000-000002000000}">
      <formula1>$AD$13:$AE$13</formula1>
    </dataValidation>
    <dataValidation type="list" allowBlank="1" showInputMessage="1" showErrorMessage="1" sqref="Y15" xr:uid="{00000000-0002-0000-0000-000003000000}">
      <formula1>INDIRECT($Y$14)</formula1>
    </dataValidation>
    <dataValidation type="list" allowBlank="1" showInputMessage="1" showErrorMessage="1" sqref="Y14" xr:uid="{00000000-0002-0000-0000-000004000000}">
      <formula1>$AB$13:$AC$13</formula1>
    </dataValidation>
    <dataValidation type="list" allowBlank="1" showInputMessage="1" showErrorMessage="1" sqref="Y7" xr:uid="{00000000-0002-0000-0000-000005000000}">
      <formula1>INDIRECT($Y$6)</formula1>
    </dataValidation>
    <dataValidation type="list" allowBlank="1" showInputMessage="1" showErrorMessage="1" sqref="X9" xr:uid="{00000000-0002-0000-0000-000006000000}">
      <formula1>INDIRECT($X$8)</formula1>
    </dataValidation>
    <dataValidation type="list" allowBlank="1" showInputMessage="1" showErrorMessage="1" sqref="C22:V22 C25:V25" xr:uid="{00000000-0002-0000-0000-000007000000}">
      <formula1>$AB$10</formula1>
    </dataValidation>
    <dataValidation type="list" allowBlank="1" showInputMessage="1" showErrorMessage="1" sqref="C18:V18" xr:uid="{00000000-0002-0000-0000-000008000000}">
      <formula1>$AB$14:$AP$14</formula1>
    </dataValidation>
    <dataValidation type="list" allowBlank="1" showInputMessage="1" showErrorMessage="1" sqref="C15:V15 C9:V9" xr:uid="{00000000-0002-0000-0000-000009000000}">
      <formula1>$AB$10:$AC$10</formula1>
    </dataValidation>
    <dataValidation type="list" allowBlank="1" showInputMessage="1" showErrorMessage="1" sqref="C12:V12" xr:uid="{00000000-0002-0000-0000-00000A000000}">
      <formula1>$AB$3:$AH$3</formula1>
    </dataValidation>
    <dataValidation type="list" allowBlank="1" showInputMessage="1" showErrorMessage="1" sqref="C27:V27" xr:uid="{00000000-0002-0000-0000-00000B000000}">
      <formula1>$AB$28:$AE$28</formula1>
    </dataValidation>
  </dataValidations>
  <printOptions horizontalCentered="1"/>
  <pageMargins left="0.51181102362204722" right="0.51181102362204722" top="0.74803149606299213" bottom="0.74803149606299213" header="0.31496062992125984" footer="0.31496062992125984"/>
  <pageSetup paperSize="9" scale="52" orientation="landscape" verticalDpi="360" r:id="rId1"/>
  <colBreaks count="2" manualBreakCount="2">
    <brk id="12" max="1048575" man="1"/>
    <brk id="22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N59"/>
  <sheetViews>
    <sheetView showGridLines="0" showRowColHeaders="0" zoomScaleNormal="100" workbookViewId="0">
      <pane xSplit="1" topLeftCell="B1" activePane="topRight" state="frozen"/>
      <selection pane="topRight" activeCell="C6" sqref="C6"/>
    </sheetView>
  </sheetViews>
  <sheetFormatPr defaultColWidth="9.109375" defaultRowHeight="14.4" x14ac:dyDescent="0.3"/>
  <cols>
    <col min="1" max="1" width="38.109375" style="1" customWidth="1"/>
    <col min="2" max="2" width="5.33203125" style="1" customWidth="1"/>
    <col min="3" max="22" width="15.6640625" style="1" customWidth="1"/>
    <col min="23" max="24" width="9.109375" style="1"/>
    <col min="25" max="25" width="0" style="1" hidden="1" customWidth="1"/>
    <col min="26" max="26" width="15.33203125" style="1" hidden="1" customWidth="1"/>
    <col min="27" max="28" width="16.109375" style="1" hidden="1" customWidth="1"/>
    <col min="29" max="33" width="0" style="1" hidden="1" customWidth="1"/>
    <col min="34" max="16384" width="9.109375" style="1"/>
  </cols>
  <sheetData>
    <row r="1" spans="1:40" ht="28.5" customHeight="1" x14ac:dyDescent="0.3">
      <c r="A1" s="120" t="s">
        <v>147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24"/>
      <c r="M1" s="24"/>
      <c r="N1" s="24"/>
      <c r="O1" s="24"/>
      <c r="P1" s="24"/>
      <c r="Q1" s="24"/>
      <c r="R1" s="24"/>
      <c r="S1" s="24"/>
      <c r="T1" s="24"/>
      <c r="U1" s="24"/>
      <c r="AL1" s="25"/>
      <c r="AM1" s="25"/>
    </row>
    <row r="2" spans="1:40" ht="70.5" customHeight="1" x14ac:dyDescent="0.3">
      <c r="A2" s="121" t="s">
        <v>221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24"/>
      <c r="M2" s="24"/>
      <c r="N2" s="24"/>
      <c r="O2" s="24"/>
      <c r="P2" s="24"/>
      <c r="Q2" s="24"/>
      <c r="R2" s="24"/>
      <c r="S2" s="24"/>
      <c r="T2" s="24"/>
      <c r="U2" s="24"/>
      <c r="AL2" s="25"/>
      <c r="AM2" s="25"/>
    </row>
    <row r="3" spans="1:40" ht="15.75" customHeight="1" x14ac:dyDescent="0.3">
      <c r="A3" s="122"/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AA3" s="26" t="s">
        <v>0</v>
      </c>
      <c r="AB3" s="26" t="s">
        <v>1</v>
      </c>
      <c r="AC3" s="26" t="s">
        <v>2</v>
      </c>
      <c r="AD3" s="26" t="s">
        <v>3</v>
      </c>
      <c r="AE3" s="26" t="s">
        <v>4</v>
      </c>
      <c r="AF3" s="26" t="s">
        <v>5</v>
      </c>
      <c r="AG3" s="26" t="s">
        <v>169</v>
      </c>
      <c r="AL3" s="25"/>
      <c r="AM3" s="25"/>
    </row>
    <row r="4" spans="1:40" x14ac:dyDescent="0.3">
      <c r="A4" s="101" t="s">
        <v>6</v>
      </c>
      <c r="B4" s="28"/>
      <c r="C4" s="28">
        <v>1</v>
      </c>
      <c r="D4" s="28">
        <v>2</v>
      </c>
      <c r="E4" s="28">
        <v>3</v>
      </c>
      <c r="F4" s="28">
        <v>4</v>
      </c>
      <c r="G4" s="28">
        <v>5</v>
      </c>
      <c r="H4" s="28">
        <v>6</v>
      </c>
      <c r="I4" s="28">
        <v>7</v>
      </c>
      <c r="J4" s="28">
        <v>8</v>
      </c>
      <c r="K4" s="28">
        <v>9</v>
      </c>
      <c r="L4" s="28">
        <v>10</v>
      </c>
      <c r="M4" s="28">
        <v>11</v>
      </c>
      <c r="N4" s="28">
        <v>12</v>
      </c>
      <c r="O4" s="28">
        <v>13</v>
      </c>
      <c r="P4" s="28">
        <v>14</v>
      </c>
      <c r="Q4" s="28">
        <v>15</v>
      </c>
      <c r="R4" s="28">
        <v>16</v>
      </c>
      <c r="S4" s="28">
        <v>17</v>
      </c>
      <c r="T4" s="28">
        <v>18</v>
      </c>
      <c r="U4" s="28">
        <v>19</v>
      </c>
      <c r="V4" s="28">
        <v>20</v>
      </c>
    </row>
    <row r="5" spans="1:40" x14ac:dyDescent="0.3">
      <c r="A5" s="29"/>
      <c r="B5" s="30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Y5" s="36" t="s">
        <v>13</v>
      </c>
      <c r="Z5" s="36" t="s">
        <v>14</v>
      </c>
    </row>
    <row r="6" spans="1:40" x14ac:dyDescent="0.3">
      <c r="A6" s="102" t="s">
        <v>86</v>
      </c>
      <c r="B6" s="39"/>
      <c r="C6" s="64" t="s">
        <v>14</v>
      </c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Y6" s="26" t="s">
        <v>19</v>
      </c>
      <c r="Z6" s="36"/>
      <c r="AM6" s="25"/>
      <c r="AN6" s="25"/>
    </row>
    <row r="7" spans="1:40" x14ac:dyDescent="0.3">
      <c r="A7" s="102" t="s">
        <v>87</v>
      </c>
      <c r="B7" s="39"/>
      <c r="C7" s="64"/>
      <c r="D7" s="64"/>
      <c r="E7" s="64"/>
      <c r="F7" s="64"/>
      <c r="G7" s="64"/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Y7" s="36" t="s">
        <v>21</v>
      </c>
      <c r="Z7" s="36"/>
      <c r="AM7" s="25"/>
      <c r="AN7" s="25"/>
    </row>
    <row r="8" spans="1:40" x14ac:dyDescent="0.3">
      <c r="A8" s="102"/>
      <c r="B8" s="39"/>
      <c r="C8" s="55" t="str">
        <f>IF(OR(C51="CHECK",C52="CHECK"),"CHECK HINGE SIDE","")</f>
        <v/>
      </c>
      <c r="D8" s="55" t="str">
        <f t="shared" ref="D8:V8" si="0">IF(OR(D51="CHECK",D52="CHECK"),"CHECK HINGE SIDE","")</f>
        <v/>
      </c>
      <c r="E8" s="55" t="str">
        <f t="shared" si="0"/>
        <v/>
      </c>
      <c r="F8" s="55" t="str">
        <f t="shared" si="0"/>
        <v/>
      </c>
      <c r="G8" s="55" t="str">
        <f t="shared" si="0"/>
        <v/>
      </c>
      <c r="H8" s="55" t="str">
        <f t="shared" si="0"/>
        <v/>
      </c>
      <c r="I8" s="55" t="str">
        <f t="shared" si="0"/>
        <v/>
      </c>
      <c r="J8" s="55" t="str">
        <f t="shared" si="0"/>
        <v/>
      </c>
      <c r="K8" s="55" t="str">
        <f t="shared" si="0"/>
        <v/>
      </c>
      <c r="L8" s="55" t="str">
        <f t="shared" si="0"/>
        <v/>
      </c>
      <c r="M8" s="55" t="str">
        <f t="shared" si="0"/>
        <v/>
      </c>
      <c r="N8" s="55" t="str">
        <f t="shared" si="0"/>
        <v/>
      </c>
      <c r="O8" s="55" t="str">
        <f t="shared" si="0"/>
        <v/>
      </c>
      <c r="P8" s="55" t="str">
        <f t="shared" si="0"/>
        <v/>
      </c>
      <c r="Q8" s="55" t="str">
        <f t="shared" si="0"/>
        <v/>
      </c>
      <c r="R8" s="55" t="str">
        <f t="shared" si="0"/>
        <v/>
      </c>
      <c r="S8" s="55" t="str">
        <f t="shared" si="0"/>
        <v/>
      </c>
      <c r="T8" s="55" t="str">
        <f t="shared" si="0"/>
        <v/>
      </c>
      <c r="U8" s="55" t="str">
        <f t="shared" si="0"/>
        <v/>
      </c>
      <c r="V8" s="55" t="str">
        <f t="shared" si="0"/>
        <v/>
      </c>
      <c r="AM8" s="25"/>
      <c r="AN8" s="25"/>
    </row>
    <row r="9" spans="1:40" ht="15" customHeight="1" x14ac:dyDescent="0.3">
      <c r="A9" s="102" t="s">
        <v>88</v>
      </c>
      <c r="B9" s="39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Z9" s="26" t="s">
        <v>108</v>
      </c>
      <c r="AA9" s="26" t="s">
        <v>109</v>
      </c>
      <c r="AB9" s="26" t="s">
        <v>110</v>
      </c>
      <c r="AM9" s="25"/>
      <c r="AN9" s="25"/>
    </row>
    <row r="10" spans="1:40" ht="24.9" customHeight="1" x14ac:dyDescent="0.3">
      <c r="A10" s="102"/>
      <c r="B10" s="39"/>
      <c r="C10" s="69" t="str">
        <f t="shared" ref="C10:V10" si="1">IF(OR(C37="CK",C38="CK"),"SIDE &amp; MOUNTING HOLES REQUIRED","")</f>
        <v/>
      </c>
      <c r="D10" s="69" t="str">
        <f t="shared" si="1"/>
        <v/>
      </c>
      <c r="E10" s="69" t="str">
        <f t="shared" si="1"/>
        <v/>
      </c>
      <c r="F10" s="69" t="str">
        <f t="shared" si="1"/>
        <v/>
      </c>
      <c r="G10" s="69" t="str">
        <f t="shared" si="1"/>
        <v/>
      </c>
      <c r="H10" s="69" t="str">
        <f t="shared" si="1"/>
        <v/>
      </c>
      <c r="I10" s="69" t="str">
        <f t="shared" si="1"/>
        <v/>
      </c>
      <c r="J10" s="69" t="str">
        <f t="shared" si="1"/>
        <v/>
      </c>
      <c r="K10" s="69" t="str">
        <f t="shared" si="1"/>
        <v/>
      </c>
      <c r="L10" s="69" t="str">
        <f t="shared" si="1"/>
        <v/>
      </c>
      <c r="M10" s="69" t="str">
        <f t="shared" si="1"/>
        <v/>
      </c>
      <c r="N10" s="69" t="str">
        <f t="shared" si="1"/>
        <v/>
      </c>
      <c r="O10" s="69" t="str">
        <f t="shared" si="1"/>
        <v/>
      </c>
      <c r="P10" s="69" t="str">
        <f t="shared" si="1"/>
        <v/>
      </c>
      <c r="Q10" s="69" t="str">
        <f t="shared" si="1"/>
        <v/>
      </c>
      <c r="R10" s="69" t="str">
        <f t="shared" si="1"/>
        <v/>
      </c>
      <c r="S10" s="69" t="str">
        <f t="shared" si="1"/>
        <v/>
      </c>
      <c r="T10" s="69" t="str">
        <f t="shared" si="1"/>
        <v/>
      </c>
      <c r="U10" s="69" t="str">
        <f t="shared" si="1"/>
        <v/>
      </c>
      <c r="V10" s="69" t="str">
        <f t="shared" si="1"/>
        <v/>
      </c>
      <c r="Z10" s="26" t="s">
        <v>199</v>
      </c>
      <c r="AA10" s="26" t="s">
        <v>202</v>
      </c>
      <c r="AB10" s="26" t="s">
        <v>205</v>
      </c>
      <c r="AM10" s="25"/>
      <c r="AN10" s="25"/>
    </row>
    <row r="11" spans="1:40" ht="15" customHeight="1" x14ac:dyDescent="0.3">
      <c r="A11" s="102" t="s">
        <v>94</v>
      </c>
      <c r="B11" s="39" t="s">
        <v>9</v>
      </c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Z11" s="26" t="s">
        <v>200</v>
      </c>
      <c r="AA11" s="26" t="s">
        <v>203</v>
      </c>
      <c r="AB11" s="26" t="s">
        <v>206</v>
      </c>
      <c r="AM11" s="25"/>
      <c r="AN11" s="25"/>
    </row>
    <row r="12" spans="1:40" x14ac:dyDescent="0.3">
      <c r="A12" s="102" t="s">
        <v>90</v>
      </c>
      <c r="B12" s="39" t="s">
        <v>9</v>
      </c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Z12" s="26" t="s">
        <v>201</v>
      </c>
      <c r="AA12" s="26" t="s">
        <v>204</v>
      </c>
      <c r="AB12" s="26" t="s">
        <v>207</v>
      </c>
      <c r="AM12" s="25"/>
      <c r="AN12" s="25"/>
    </row>
    <row r="13" spans="1:40" x14ac:dyDescent="0.3">
      <c r="A13" s="102" t="s">
        <v>91</v>
      </c>
      <c r="B13" s="39" t="s">
        <v>9</v>
      </c>
      <c r="C13" s="60"/>
      <c r="D13" s="60"/>
      <c r="E13" s="60"/>
      <c r="F13" s="60"/>
      <c r="G13" s="60"/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AM13" s="25"/>
      <c r="AN13" s="25"/>
    </row>
    <row r="14" spans="1:40" x14ac:dyDescent="0.3">
      <c r="A14" s="102" t="s">
        <v>92</v>
      </c>
      <c r="B14" s="39" t="s">
        <v>9</v>
      </c>
      <c r="C14" s="60"/>
      <c r="D14" s="60"/>
      <c r="E14" s="60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Y14" s="26" t="s">
        <v>19</v>
      </c>
      <c r="Z14" s="26" t="s">
        <v>21</v>
      </c>
      <c r="AM14" s="25"/>
      <c r="AN14" s="25"/>
    </row>
    <row r="15" spans="1:40" x14ac:dyDescent="0.3">
      <c r="A15" s="102" t="s">
        <v>93</v>
      </c>
      <c r="B15" s="39" t="s">
        <v>9</v>
      </c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AM15" s="25"/>
      <c r="AN15" s="25"/>
    </row>
    <row r="16" spans="1:40" x14ac:dyDescent="0.3">
      <c r="A16" s="102"/>
      <c r="B16" s="39"/>
      <c r="C16" s="55" t="str">
        <f>IF(OR(C55="ERROR!",C56="ERROR!"),"SELECT OWN HANDLE","")</f>
        <v/>
      </c>
      <c r="D16" s="55" t="str">
        <f t="shared" ref="D16:V16" si="2">IF(OR(D55="ERROR!",D56="ERROR!"),"SELECT OWN HANDLE","")</f>
        <v/>
      </c>
      <c r="E16" s="55" t="str">
        <f t="shared" si="2"/>
        <v/>
      </c>
      <c r="F16" s="55" t="str">
        <f t="shared" si="2"/>
        <v/>
      </c>
      <c r="G16" s="55" t="str">
        <f t="shared" si="2"/>
        <v/>
      </c>
      <c r="H16" s="55" t="str">
        <f t="shared" si="2"/>
        <v/>
      </c>
      <c r="I16" s="55" t="str">
        <f t="shared" si="2"/>
        <v/>
      </c>
      <c r="J16" s="55" t="str">
        <f t="shared" si="2"/>
        <v/>
      </c>
      <c r="K16" s="55" t="str">
        <f t="shared" si="2"/>
        <v/>
      </c>
      <c r="L16" s="55" t="str">
        <f t="shared" si="2"/>
        <v/>
      </c>
      <c r="M16" s="55" t="str">
        <f t="shared" si="2"/>
        <v/>
      </c>
      <c r="N16" s="55" t="str">
        <f t="shared" si="2"/>
        <v/>
      </c>
      <c r="O16" s="55" t="str">
        <f t="shared" si="2"/>
        <v/>
      </c>
      <c r="P16" s="55" t="str">
        <f t="shared" si="2"/>
        <v/>
      </c>
      <c r="Q16" s="55" t="str">
        <f t="shared" si="2"/>
        <v/>
      </c>
      <c r="R16" s="55" t="str">
        <f t="shared" si="2"/>
        <v/>
      </c>
      <c r="S16" s="55" t="str">
        <f t="shared" si="2"/>
        <v/>
      </c>
      <c r="T16" s="55" t="str">
        <f t="shared" si="2"/>
        <v/>
      </c>
      <c r="U16" s="55" t="str">
        <f t="shared" si="2"/>
        <v/>
      </c>
      <c r="V16" s="55" t="str">
        <f t="shared" si="2"/>
        <v/>
      </c>
      <c r="AM16" s="25"/>
      <c r="AN16" s="25"/>
    </row>
    <row r="17" spans="1:40" x14ac:dyDescent="0.3">
      <c r="A17" s="102"/>
      <c r="B17" s="39"/>
      <c r="C17" s="70" t="str">
        <f>IF(OR(C40="MM",C41="MM",C42="MM",C43="MM",C44="MM"),"POSITION REQ'D","")</f>
        <v/>
      </c>
      <c r="D17" s="70" t="str">
        <f t="shared" ref="D17:V17" si="3">IF(OR(D40="MM",D41="MM",D42="MM",D43="MM",D44="MM"),"POSITION REQ'D","")</f>
        <v/>
      </c>
      <c r="E17" s="70" t="str">
        <f t="shared" si="3"/>
        <v/>
      </c>
      <c r="F17" s="70" t="str">
        <f t="shared" si="3"/>
        <v/>
      </c>
      <c r="G17" s="70" t="str">
        <f t="shared" si="3"/>
        <v/>
      </c>
      <c r="H17" s="70" t="str">
        <f t="shared" si="3"/>
        <v/>
      </c>
      <c r="I17" s="70" t="str">
        <f t="shared" si="3"/>
        <v/>
      </c>
      <c r="J17" s="70" t="str">
        <f t="shared" si="3"/>
        <v/>
      </c>
      <c r="K17" s="70" t="str">
        <f t="shared" si="3"/>
        <v/>
      </c>
      <c r="L17" s="70" t="str">
        <f t="shared" si="3"/>
        <v/>
      </c>
      <c r="M17" s="70" t="str">
        <f t="shared" si="3"/>
        <v/>
      </c>
      <c r="N17" s="70" t="str">
        <f t="shared" si="3"/>
        <v/>
      </c>
      <c r="O17" s="70" t="str">
        <f t="shared" si="3"/>
        <v/>
      </c>
      <c r="P17" s="70" t="str">
        <f t="shared" si="3"/>
        <v/>
      </c>
      <c r="Q17" s="70" t="str">
        <f t="shared" si="3"/>
        <v/>
      </c>
      <c r="R17" s="70" t="str">
        <f t="shared" si="3"/>
        <v/>
      </c>
      <c r="S17" s="70" t="str">
        <f t="shared" si="3"/>
        <v/>
      </c>
      <c r="T17" s="70" t="str">
        <f t="shared" si="3"/>
        <v/>
      </c>
      <c r="U17" s="70" t="str">
        <f t="shared" si="3"/>
        <v/>
      </c>
      <c r="V17" s="70" t="str">
        <f t="shared" si="3"/>
        <v/>
      </c>
      <c r="AM17" s="25"/>
      <c r="AN17" s="25"/>
    </row>
    <row r="18" spans="1:40" ht="15" customHeight="1" x14ac:dyDescent="0.3">
      <c r="A18" s="102" t="s">
        <v>89</v>
      </c>
      <c r="B18" s="39"/>
      <c r="C18" s="64" t="s">
        <v>14</v>
      </c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1" t="s">
        <v>225</v>
      </c>
      <c r="AM18" s="25"/>
      <c r="AN18" s="25"/>
    </row>
    <row r="19" spans="1:40" ht="26.1" customHeight="1" x14ac:dyDescent="0.3">
      <c r="A19" s="102"/>
      <c r="B19" s="39"/>
      <c r="C19" s="69" t="str">
        <f>IF(AND(C48="OPT",C47&gt;0),"SELECT EDGE FIXED OPTION","")</f>
        <v/>
      </c>
      <c r="D19" s="69" t="str">
        <f t="shared" ref="D19:V19" si="4">IF(AND(D48="OPT",D47&gt;0),"SELECT EDGE FIXED OPTION","")</f>
        <v/>
      </c>
      <c r="E19" s="69" t="str">
        <f t="shared" si="4"/>
        <v/>
      </c>
      <c r="F19" s="69" t="str">
        <f t="shared" si="4"/>
        <v/>
      </c>
      <c r="G19" s="69" t="str">
        <f t="shared" si="4"/>
        <v/>
      </c>
      <c r="H19" s="69" t="str">
        <f t="shared" si="4"/>
        <v/>
      </c>
      <c r="I19" s="69" t="str">
        <f t="shared" si="4"/>
        <v/>
      </c>
      <c r="J19" s="69" t="str">
        <f t="shared" si="4"/>
        <v/>
      </c>
      <c r="K19" s="69" t="str">
        <f t="shared" si="4"/>
        <v/>
      </c>
      <c r="L19" s="69" t="str">
        <f t="shared" si="4"/>
        <v/>
      </c>
      <c r="M19" s="69" t="str">
        <f t="shared" si="4"/>
        <v/>
      </c>
      <c r="N19" s="69" t="str">
        <f t="shared" si="4"/>
        <v/>
      </c>
      <c r="O19" s="69" t="str">
        <f t="shared" si="4"/>
        <v/>
      </c>
      <c r="P19" s="69" t="str">
        <f t="shared" si="4"/>
        <v/>
      </c>
      <c r="Q19" s="69" t="str">
        <f t="shared" si="4"/>
        <v/>
      </c>
      <c r="R19" s="69" t="str">
        <f t="shared" si="4"/>
        <v/>
      </c>
      <c r="S19" s="69" t="str">
        <f t="shared" si="4"/>
        <v/>
      </c>
      <c r="T19" s="69" t="str">
        <f t="shared" si="4"/>
        <v/>
      </c>
      <c r="U19" s="69" t="str">
        <f t="shared" si="4"/>
        <v/>
      </c>
      <c r="V19" s="69" t="str">
        <f t="shared" si="4"/>
        <v/>
      </c>
      <c r="AM19" s="25"/>
      <c r="AN19" s="25"/>
    </row>
    <row r="20" spans="1:40" x14ac:dyDescent="0.3">
      <c r="A20" s="102" t="s">
        <v>107</v>
      </c>
      <c r="B20" s="39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AM20" s="25"/>
      <c r="AN20" s="25"/>
    </row>
    <row r="21" spans="1:40" ht="22.5" customHeight="1" x14ac:dyDescent="0.3">
      <c r="A21" s="102" t="s">
        <v>85</v>
      </c>
      <c r="B21" s="39"/>
      <c r="C21" s="61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AM21" s="25"/>
      <c r="AN21" s="25"/>
    </row>
    <row r="22" spans="1:40" ht="22.5" customHeight="1" x14ac:dyDescent="0.3">
      <c r="A22" s="102" t="s">
        <v>87</v>
      </c>
      <c r="B22" s="39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AM22" s="25"/>
      <c r="AN22" s="25"/>
    </row>
    <row r="23" spans="1:40" x14ac:dyDescent="0.3">
      <c r="A23" s="102"/>
      <c r="B23" s="39"/>
      <c r="C23" s="56" t="str">
        <f>IF(OR(C53="CHECK",C54="CHECK"),"CHECK HINGE SIDE","")</f>
        <v/>
      </c>
      <c r="D23" s="56" t="str">
        <f t="shared" ref="D23:V23" si="5">IF(OR(D53="CHECK",D54="CHECK"),"CHECK HINGE SIDE","")</f>
        <v/>
      </c>
      <c r="E23" s="56" t="str">
        <f t="shared" si="5"/>
        <v/>
      </c>
      <c r="F23" s="56" t="str">
        <f t="shared" si="5"/>
        <v/>
      </c>
      <c r="G23" s="56" t="str">
        <f t="shared" si="5"/>
        <v/>
      </c>
      <c r="H23" s="56" t="str">
        <f t="shared" si="5"/>
        <v/>
      </c>
      <c r="I23" s="56" t="str">
        <f t="shared" si="5"/>
        <v/>
      </c>
      <c r="J23" s="56" t="str">
        <f t="shared" si="5"/>
        <v/>
      </c>
      <c r="K23" s="56" t="str">
        <f t="shared" si="5"/>
        <v/>
      </c>
      <c r="L23" s="56" t="str">
        <f t="shared" si="5"/>
        <v/>
      </c>
      <c r="M23" s="56" t="str">
        <f t="shared" si="5"/>
        <v/>
      </c>
      <c r="N23" s="56" t="str">
        <f t="shared" si="5"/>
        <v/>
      </c>
      <c r="O23" s="56" t="str">
        <f t="shared" si="5"/>
        <v/>
      </c>
      <c r="P23" s="56" t="str">
        <f t="shared" si="5"/>
        <v/>
      </c>
      <c r="Q23" s="56" t="str">
        <f t="shared" si="5"/>
        <v/>
      </c>
      <c r="R23" s="56" t="str">
        <f t="shared" si="5"/>
        <v/>
      </c>
      <c r="S23" s="56" t="str">
        <f t="shared" si="5"/>
        <v/>
      </c>
      <c r="T23" s="56" t="str">
        <f t="shared" si="5"/>
        <v/>
      </c>
      <c r="U23" s="56" t="str">
        <f t="shared" si="5"/>
        <v/>
      </c>
      <c r="V23" s="56" t="str">
        <f t="shared" si="5"/>
        <v/>
      </c>
      <c r="AM23" s="25"/>
      <c r="AN23" s="25"/>
    </row>
    <row r="24" spans="1:40" ht="15" customHeight="1" x14ac:dyDescent="0.3">
      <c r="A24" s="102" t="s">
        <v>111</v>
      </c>
      <c r="B24" s="39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AM24" s="25"/>
      <c r="AN24" s="25"/>
    </row>
    <row r="25" spans="1:40" ht="24.9" customHeight="1" x14ac:dyDescent="0.3">
      <c r="A25" s="102"/>
      <c r="B25" s="39"/>
      <c r="C25" s="71" t="str">
        <f t="shared" ref="C25:V25" si="6">IF(AND(C6="Yes",C18="Yes"),"NOT AVAILABLE WITH OWN HANDLE","")</f>
        <v/>
      </c>
      <c r="D25" s="71" t="str">
        <f t="shared" si="6"/>
        <v/>
      </c>
      <c r="E25" s="71" t="str">
        <f t="shared" si="6"/>
        <v/>
      </c>
      <c r="F25" s="71" t="str">
        <f t="shared" si="6"/>
        <v/>
      </c>
      <c r="G25" s="71" t="str">
        <f t="shared" si="6"/>
        <v/>
      </c>
      <c r="H25" s="71" t="str">
        <f t="shared" si="6"/>
        <v/>
      </c>
      <c r="I25" s="71" t="str">
        <f t="shared" si="6"/>
        <v/>
      </c>
      <c r="J25" s="71" t="str">
        <f t="shared" si="6"/>
        <v/>
      </c>
      <c r="K25" s="71" t="str">
        <f t="shared" si="6"/>
        <v/>
      </c>
      <c r="L25" s="71" t="str">
        <f t="shared" si="6"/>
        <v/>
      </c>
      <c r="M25" s="71" t="str">
        <f t="shared" si="6"/>
        <v/>
      </c>
      <c r="N25" s="71" t="str">
        <f t="shared" si="6"/>
        <v/>
      </c>
      <c r="O25" s="71" t="str">
        <f t="shared" si="6"/>
        <v/>
      </c>
      <c r="P25" s="71" t="str">
        <f t="shared" si="6"/>
        <v/>
      </c>
      <c r="Q25" s="71" t="str">
        <f t="shared" si="6"/>
        <v/>
      </c>
      <c r="R25" s="71" t="str">
        <f t="shared" si="6"/>
        <v/>
      </c>
      <c r="S25" s="71" t="str">
        <f t="shared" si="6"/>
        <v/>
      </c>
      <c r="T25" s="71" t="str">
        <f t="shared" si="6"/>
        <v/>
      </c>
      <c r="U25" s="71" t="str">
        <f t="shared" si="6"/>
        <v/>
      </c>
      <c r="V25" s="71" t="str">
        <f t="shared" si="6"/>
        <v/>
      </c>
      <c r="AM25" s="25"/>
      <c r="AN25" s="25"/>
    </row>
    <row r="26" spans="1:40" ht="22.5" customHeight="1" x14ac:dyDescent="0.3">
      <c r="A26" s="102"/>
      <c r="B26" s="39"/>
      <c r="C26" s="70" t="str">
        <f t="shared" ref="C26:V26" si="7">IF(AND(C18="Yes",C45&lt;4),"HANDLE DETAIL REQ'D","")</f>
        <v/>
      </c>
      <c r="D26" s="70" t="str">
        <f t="shared" si="7"/>
        <v/>
      </c>
      <c r="E26" s="70" t="str">
        <f t="shared" si="7"/>
        <v/>
      </c>
      <c r="F26" s="70" t="str">
        <f t="shared" si="7"/>
        <v/>
      </c>
      <c r="G26" s="70" t="str">
        <f t="shared" si="7"/>
        <v/>
      </c>
      <c r="H26" s="70" t="str">
        <f t="shared" si="7"/>
        <v/>
      </c>
      <c r="I26" s="70" t="str">
        <f t="shared" si="7"/>
        <v/>
      </c>
      <c r="J26" s="70" t="str">
        <f t="shared" si="7"/>
        <v/>
      </c>
      <c r="K26" s="70" t="str">
        <f t="shared" si="7"/>
        <v/>
      </c>
      <c r="L26" s="70" t="str">
        <f t="shared" si="7"/>
        <v/>
      </c>
      <c r="M26" s="70" t="str">
        <f t="shared" si="7"/>
        <v/>
      </c>
      <c r="N26" s="70" t="str">
        <f t="shared" si="7"/>
        <v/>
      </c>
      <c r="O26" s="70" t="str">
        <f t="shared" si="7"/>
        <v/>
      </c>
      <c r="P26" s="70" t="str">
        <f t="shared" si="7"/>
        <v/>
      </c>
      <c r="Q26" s="70" t="str">
        <f t="shared" si="7"/>
        <v/>
      </c>
      <c r="R26" s="70" t="str">
        <f t="shared" si="7"/>
        <v/>
      </c>
      <c r="S26" s="70" t="str">
        <f t="shared" si="7"/>
        <v/>
      </c>
      <c r="T26" s="70" t="str">
        <f t="shared" si="7"/>
        <v/>
      </c>
      <c r="U26" s="70" t="str">
        <f t="shared" si="7"/>
        <v/>
      </c>
      <c r="V26" s="70" t="str">
        <f t="shared" si="7"/>
        <v/>
      </c>
      <c r="AM26" s="25"/>
      <c r="AN26" s="25"/>
    </row>
    <row r="27" spans="1:40" x14ac:dyDescent="0.3">
      <c r="A27" s="102" t="s">
        <v>112</v>
      </c>
      <c r="B27" s="39"/>
      <c r="C27" s="64" t="s">
        <v>14</v>
      </c>
      <c r="D27" s="64"/>
      <c r="E27" s="64"/>
      <c r="F27" s="64"/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AM27" s="25"/>
      <c r="AN27" s="25"/>
    </row>
    <row r="28" spans="1:40" x14ac:dyDescent="0.3">
      <c r="A28" s="102" t="s">
        <v>113</v>
      </c>
      <c r="B28" s="39" t="s">
        <v>9</v>
      </c>
      <c r="C28" s="59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AM28" s="25"/>
      <c r="AN28" s="25"/>
    </row>
    <row r="29" spans="1:40" ht="23.1" customHeight="1" x14ac:dyDescent="0.3">
      <c r="A29" s="102" t="s">
        <v>114</v>
      </c>
      <c r="B29" s="39" t="s">
        <v>9</v>
      </c>
      <c r="C29" s="59"/>
      <c r="D29" s="59"/>
      <c r="E29" s="59"/>
      <c r="F29" s="59"/>
      <c r="G29" s="59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AM29" s="25"/>
      <c r="AN29" s="25"/>
    </row>
    <row r="30" spans="1:40" x14ac:dyDescent="0.3">
      <c r="A30" s="102"/>
      <c r="B30" s="39"/>
      <c r="C30" s="71" t="str">
        <f>IF(AND(C24="No",C27="Yes"),"SELECT FULL LENGTH PROFILE","")</f>
        <v/>
      </c>
      <c r="D30" s="71" t="str">
        <f t="shared" ref="D30:V30" si="8">IF(AND(D24="No",D27="Yes"),"SELECT FULL LENGTH PROFILE","")</f>
        <v/>
      </c>
      <c r="E30" s="71" t="str">
        <f t="shared" si="8"/>
        <v/>
      </c>
      <c r="F30" s="71" t="str">
        <f t="shared" si="8"/>
        <v/>
      </c>
      <c r="G30" s="71" t="str">
        <f t="shared" si="8"/>
        <v/>
      </c>
      <c r="H30" s="71" t="str">
        <f t="shared" si="8"/>
        <v/>
      </c>
      <c r="I30" s="71" t="str">
        <f t="shared" si="8"/>
        <v/>
      </c>
      <c r="J30" s="71" t="str">
        <f t="shared" si="8"/>
        <v/>
      </c>
      <c r="K30" s="71" t="str">
        <f t="shared" si="8"/>
        <v/>
      </c>
      <c r="L30" s="71" t="str">
        <f t="shared" si="8"/>
        <v/>
      </c>
      <c r="M30" s="71" t="str">
        <f t="shared" si="8"/>
        <v/>
      </c>
      <c r="N30" s="71" t="str">
        <f t="shared" si="8"/>
        <v/>
      </c>
      <c r="O30" s="71" t="str">
        <f t="shared" si="8"/>
        <v/>
      </c>
      <c r="P30" s="71" t="str">
        <f t="shared" si="8"/>
        <v/>
      </c>
      <c r="Q30" s="71" t="str">
        <f t="shared" si="8"/>
        <v/>
      </c>
      <c r="R30" s="71" t="str">
        <f t="shared" si="8"/>
        <v/>
      </c>
      <c r="S30" s="71" t="str">
        <f t="shared" si="8"/>
        <v/>
      </c>
      <c r="T30" s="71" t="str">
        <f t="shared" si="8"/>
        <v/>
      </c>
      <c r="U30" s="71" t="str">
        <f t="shared" si="8"/>
        <v/>
      </c>
      <c r="V30" s="71" t="str">
        <f t="shared" si="8"/>
        <v/>
      </c>
      <c r="AM30" s="25"/>
      <c r="AN30" s="25"/>
    </row>
    <row r="31" spans="1:40" x14ac:dyDescent="0.3">
      <c r="A31" s="102"/>
      <c r="B31" s="39"/>
      <c r="C31" s="70" t="str">
        <f t="shared" ref="C31:V31" si="9">IF(AND(C27="Yes", C46&lt;2),"MEASUREMENT REQ'D","")</f>
        <v/>
      </c>
      <c r="D31" s="70" t="str">
        <f t="shared" si="9"/>
        <v/>
      </c>
      <c r="E31" s="70" t="str">
        <f t="shared" si="9"/>
        <v/>
      </c>
      <c r="F31" s="70" t="str">
        <f t="shared" si="9"/>
        <v/>
      </c>
      <c r="G31" s="70" t="str">
        <f t="shared" si="9"/>
        <v/>
      </c>
      <c r="H31" s="70" t="str">
        <f t="shared" si="9"/>
        <v/>
      </c>
      <c r="I31" s="70" t="str">
        <f t="shared" si="9"/>
        <v/>
      </c>
      <c r="J31" s="70" t="str">
        <f t="shared" si="9"/>
        <v/>
      </c>
      <c r="K31" s="70" t="str">
        <f t="shared" si="9"/>
        <v/>
      </c>
      <c r="L31" s="70" t="str">
        <f t="shared" si="9"/>
        <v/>
      </c>
      <c r="M31" s="70" t="str">
        <f t="shared" si="9"/>
        <v/>
      </c>
      <c r="N31" s="70" t="str">
        <f t="shared" si="9"/>
        <v/>
      </c>
      <c r="O31" s="70" t="str">
        <f t="shared" si="9"/>
        <v/>
      </c>
      <c r="P31" s="70" t="str">
        <f t="shared" si="9"/>
        <v/>
      </c>
      <c r="Q31" s="70" t="str">
        <f t="shared" si="9"/>
        <v/>
      </c>
      <c r="R31" s="70" t="str">
        <f t="shared" si="9"/>
        <v/>
      </c>
      <c r="S31" s="70" t="str">
        <f t="shared" si="9"/>
        <v/>
      </c>
      <c r="T31" s="70" t="str">
        <f t="shared" si="9"/>
        <v/>
      </c>
      <c r="U31" s="70" t="str">
        <f t="shared" si="9"/>
        <v/>
      </c>
      <c r="V31" s="70" t="str">
        <f t="shared" si="9"/>
        <v/>
      </c>
      <c r="AM31" s="25"/>
      <c r="AN31" s="25"/>
    </row>
    <row r="32" spans="1:40" ht="15" customHeight="1" x14ac:dyDescent="0.3">
      <c r="A32" s="102" t="s">
        <v>115</v>
      </c>
      <c r="B32" s="39"/>
      <c r="C32" s="74" t="s">
        <v>14</v>
      </c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AM32" s="25"/>
      <c r="AN32" s="25"/>
    </row>
    <row r="33" spans="1:40" ht="24.9" customHeight="1" x14ac:dyDescent="0.3">
      <c r="A33" s="102"/>
      <c r="B33" s="39"/>
      <c r="C33" s="69" t="str">
        <f>IF(AND(C24="Yes",C32="Yes"),"DESELECT FULL LENGTH PROFILE","")</f>
        <v/>
      </c>
      <c r="D33" s="69" t="str">
        <f t="shared" ref="D33:V33" si="10">IF(AND(D24="Yes",D32="Yes"),"DESELECT FULL LENGTH PROFILE","")</f>
        <v/>
      </c>
      <c r="E33" s="69" t="str">
        <f t="shared" si="10"/>
        <v/>
      </c>
      <c r="F33" s="69" t="str">
        <f t="shared" si="10"/>
        <v/>
      </c>
      <c r="G33" s="69" t="str">
        <f t="shared" si="10"/>
        <v/>
      </c>
      <c r="H33" s="69" t="str">
        <f t="shared" si="10"/>
        <v/>
      </c>
      <c r="I33" s="69" t="str">
        <f t="shared" si="10"/>
        <v/>
      </c>
      <c r="J33" s="69" t="str">
        <f t="shared" si="10"/>
        <v/>
      </c>
      <c r="K33" s="69" t="str">
        <f t="shared" si="10"/>
        <v/>
      </c>
      <c r="L33" s="69" t="str">
        <f t="shared" si="10"/>
        <v/>
      </c>
      <c r="M33" s="69" t="str">
        <f t="shared" si="10"/>
        <v/>
      </c>
      <c r="N33" s="69" t="str">
        <f t="shared" si="10"/>
        <v/>
      </c>
      <c r="O33" s="69" t="str">
        <f t="shared" si="10"/>
        <v/>
      </c>
      <c r="P33" s="69" t="str">
        <f t="shared" si="10"/>
        <v/>
      </c>
      <c r="Q33" s="69" t="str">
        <f t="shared" si="10"/>
        <v/>
      </c>
      <c r="R33" s="69" t="str">
        <f t="shared" si="10"/>
        <v/>
      </c>
      <c r="S33" s="69" t="str">
        <f t="shared" si="10"/>
        <v/>
      </c>
      <c r="T33" s="69" t="str">
        <f t="shared" si="10"/>
        <v/>
      </c>
      <c r="U33" s="69" t="str">
        <f t="shared" si="10"/>
        <v/>
      </c>
      <c r="V33" s="69" t="str">
        <f t="shared" si="10"/>
        <v/>
      </c>
      <c r="AM33" s="25"/>
      <c r="AN33" s="25"/>
    </row>
    <row r="34" spans="1:40" x14ac:dyDescent="0.3">
      <c r="A34" s="102" t="s">
        <v>116</v>
      </c>
      <c r="B34" s="72" t="s">
        <v>9</v>
      </c>
      <c r="C34" s="75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  <c r="S34" s="75"/>
      <c r="T34" s="75"/>
      <c r="U34" s="75"/>
      <c r="V34" s="75"/>
      <c r="AM34" s="25"/>
      <c r="AN34" s="25"/>
    </row>
    <row r="35" spans="1:40" x14ac:dyDescent="0.3">
      <c r="A35" s="103"/>
      <c r="B35" s="66"/>
      <c r="C35" s="73" t="str">
        <f>IF(AND(C32="Yes",C34=0),"MEASUREMENT REQ'D","")</f>
        <v/>
      </c>
      <c r="D35" s="73" t="str">
        <f t="shared" ref="D35:V35" si="11">IF(AND(D32="Yes",D34=0),"MEASUREMENT REQ'D","")</f>
        <v/>
      </c>
      <c r="E35" s="73" t="str">
        <f t="shared" si="11"/>
        <v/>
      </c>
      <c r="F35" s="73" t="str">
        <f t="shared" si="11"/>
        <v/>
      </c>
      <c r="G35" s="73" t="str">
        <f t="shared" si="11"/>
        <v/>
      </c>
      <c r="H35" s="73" t="str">
        <f t="shared" si="11"/>
        <v/>
      </c>
      <c r="I35" s="73" t="str">
        <f t="shared" si="11"/>
        <v/>
      </c>
      <c r="J35" s="73" t="str">
        <f t="shared" si="11"/>
        <v/>
      </c>
      <c r="K35" s="73" t="str">
        <f t="shared" si="11"/>
        <v/>
      </c>
      <c r="L35" s="73" t="str">
        <f t="shared" si="11"/>
        <v/>
      </c>
      <c r="M35" s="73" t="str">
        <f t="shared" si="11"/>
        <v/>
      </c>
      <c r="N35" s="73" t="str">
        <f t="shared" si="11"/>
        <v/>
      </c>
      <c r="O35" s="73" t="str">
        <f t="shared" si="11"/>
        <v/>
      </c>
      <c r="P35" s="73" t="str">
        <f t="shared" si="11"/>
        <v/>
      </c>
      <c r="Q35" s="73" t="str">
        <f t="shared" si="11"/>
        <v/>
      </c>
      <c r="R35" s="73" t="str">
        <f t="shared" si="11"/>
        <v/>
      </c>
      <c r="S35" s="73" t="str">
        <f t="shared" si="11"/>
        <v/>
      </c>
      <c r="T35" s="73" t="str">
        <f t="shared" si="11"/>
        <v/>
      </c>
      <c r="U35" s="73" t="str">
        <f t="shared" si="11"/>
        <v/>
      </c>
      <c r="V35" s="73" t="str">
        <f t="shared" si="11"/>
        <v/>
      </c>
    </row>
    <row r="36" spans="1:40" hidden="1" x14ac:dyDescent="0.3"/>
    <row r="37" spans="1:40" hidden="1" x14ac:dyDescent="0.3">
      <c r="B37" s="1" t="s">
        <v>237</v>
      </c>
      <c r="C37" s="1" t="str">
        <f>IF(AND(C6="Yes",C7=""),"CK","")</f>
        <v/>
      </c>
      <c r="D37" s="1" t="str">
        <f t="shared" ref="D37:V37" si="12">IF(AND(D6="Yes",D7=""),"CK","")</f>
        <v/>
      </c>
      <c r="E37" s="1" t="str">
        <f t="shared" si="12"/>
        <v/>
      </c>
      <c r="F37" s="1" t="str">
        <f t="shared" si="12"/>
        <v/>
      </c>
      <c r="G37" s="1" t="str">
        <f t="shared" si="12"/>
        <v/>
      </c>
      <c r="H37" s="1" t="str">
        <f t="shared" si="12"/>
        <v/>
      </c>
      <c r="I37" s="1" t="str">
        <f t="shared" si="12"/>
        <v/>
      </c>
      <c r="J37" s="1" t="str">
        <f t="shared" si="12"/>
        <v/>
      </c>
      <c r="K37" s="1" t="str">
        <f t="shared" si="12"/>
        <v/>
      </c>
      <c r="L37" s="1" t="str">
        <f t="shared" si="12"/>
        <v/>
      </c>
      <c r="M37" s="1" t="str">
        <f t="shared" si="12"/>
        <v/>
      </c>
      <c r="N37" s="1" t="str">
        <f t="shared" si="12"/>
        <v/>
      </c>
      <c r="O37" s="1" t="str">
        <f t="shared" si="12"/>
        <v/>
      </c>
      <c r="P37" s="1" t="str">
        <f t="shared" si="12"/>
        <v/>
      </c>
      <c r="Q37" s="1" t="str">
        <f t="shared" si="12"/>
        <v/>
      </c>
      <c r="R37" s="1" t="str">
        <f t="shared" si="12"/>
        <v/>
      </c>
      <c r="S37" s="1" t="str">
        <f t="shared" si="12"/>
        <v/>
      </c>
      <c r="T37" s="1" t="str">
        <f t="shared" si="12"/>
        <v/>
      </c>
      <c r="U37" s="1" t="str">
        <f t="shared" si="12"/>
        <v/>
      </c>
      <c r="V37" s="1" t="str">
        <f t="shared" si="12"/>
        <v/>
      </c>
    </row>
    <row r="38" spans="1:40" hidden="1" x14ac:dyDescent="0.3">
      <c r="B38" s="1" t="s">
        <v>258</v>
      </c>
      <c r="C38" s="1" t="str">
        <f>IF(AND(C6="Yes",C9=""),"CK","")</f>
        <v/>
      </c>
      <c r="D38" s="1" t="str">
        <f t="shared" ref="D38:V38" si="13">IF(AND(D6="Yes",D9=""),"CK","")</f>
        <v/>
      </c>
      <c r="E38" s="1" t="str">
        <f t="shared" si="13"/>
        <v/>
      </c>
      <c r="F38" s="1" t="str">
        <f t="shared" si="13"/>
        <v/>
      </c>
      <c r="G38" s="1" t="str">
        <f t="shared" si="13"/>
        <v/>
      </c>
      <c r="H38" s="1" t="str">
        <f t="shared" si="13"/>
        <v/>
      </c>
      <c r="I38" s="1" t="str">
        <f t="shared" si="13"/>
        <v/>
      </c>
      <c r="J38" s="1" t="str">
        <f t="shared" si="13"/>
        <v/>
      </c>
      <c r="K38" s="1" t="str">
        <f t="shared" si="13"/>
        <v/>
      </c>
      <c r="L38" s="1" t="str">
        <f t="shared" si="13"/>
        <v/>
      </c>
      <c r="M38" s="1" t="str">
        <f t="shared" si="13"/>
        <v/>
      </c>
      <c r="N38" s="1" t="str">
        <f t="shared" si="13"/>
        <v/>
      </c>
      <c r="O38" s="1" t="str">
        <f t="shared" si="13"/>
        <v/>
      </c>
      <c r="P38" s="1" t="str">
        <f t="shared" si="13"/>
        <v/>
      </c>
      <c r="Q38" s="1" t="str">
        <f t="shared" si="13"/>
        <v/>
      </c>
      <c r="R38" s="1" t="str">
        <f t="shared" si="13"/>
        <v/>
      </c>
      <c r="S38" s="1" t="str">
        <f t="shared" si="13"/>
        <v/>
      </c>
      <c r="T38" s="1" t="str">
        <f t="shared" si="13"/>
        <v/>
      </c>
      <c r="U38" s="1" t="str">
        <f t="shared" si="13"/>
        <v/>
      </c>
      <c r="V38" s="1" t="str">
        <f t="shared" si="13"/>
        <v/>
      </c>
    </row>
    <row r="39" spans="1:40" hidden="1" x14ac:dyDescent="0.3">
      <c r="B39" s="1" t="s">
        <v>238</v>
      </c>
      <c r="C39" s="1" t="str">
        <f>IF(AND(C9&gt;0,C11=0),"MM","")</f>
        <v/>
      </c>
      <c r="D39" s="1" t="str">
        <f>IF(AND(D9&gt;0,D11=0),"MM","")</f>
        <v/>
      </c>
      <c r="E39" s="1" t="str">
        <f t="shared" ref="E39:V39" si="14">IF(AND(E9&gt;0,E11=0),"MM","")</f>
        <v/>
      </c>
      <c r="F39" s="1" t="str">
        <f t="shared" si="14"/>
        <v/>
      </c>
      <c r="G39" s="1" t="str">
        <f t="shared" si="14"/>
        <v/>
      </c>
      <c r="H39" s="1" t="str">
        <f t="shared" si="14"/>
        <v/>
      </c>
      <c r="I39" s="1" t="str">
        <f t="shared" si="14"/>
        <v/>
      </c>
      <c r="J39" s="1" t="str">
        <f t="shared" si="14"/>
        <v/>
      </c>
      <c r="K39" s="1" t="str">
        <f t="shared" si="14"/>
        <v/>
      </c>
      <c r="L39" s="1" t="str">
        <f t="shared" si="14"/>
        <v/>
      </c>
      <c r="M39" s="1" t="str">
        <f t="shared" si="14"/>
        <v/>
      </c>
      <c r="N39" s="1" t="str">
        <f t="shared" si="14"/>
        <v/>
      </c>
      <c r="O39" s="1" t="str">
        <f t="shared" si="14"/>
        <v/>
      </c>
      <c r="P39" s="1" t="str">
        <f t="shared" si="14"/>
        <v/>
      </c>
      <c r="Q39" s="1" t="str">
        <f t="shared" si="14"/>
        <v/>
      </c>
      <c r="R39" s="1" t="str">
        <f t="shared" si="14"/>
        <v/>
      </c>
      <c r="S39" s="1" t="str">
        <f t="shared" si="14"/>
        <v/>
      </c>
      <c r="T39" s="1" t="str">
        <f t="shared" si="14"/>
        <v/>
      </c>
      <c r="U39" s="1" t="str">
        <f t="shared" si="14"/>
        <v/>
      </c>
      <c r="V39" s="1" t="str">
        <f t="shared" si="14"/>
        <v/>
      </c>
    </row>
    <row r="40" spans="1:40" hidden="1" x14ac:dyDescent="0.3">
      <c r="B40" s="1" t="s">
        <v>239</v>
      </c>
      <c r="C40" s="1" t="str">
        <f t="shared" ref="C40:V40" si="15">IF(AND(C9=1,C12=0),"MM","")</f>
        <v/>
      </c>
      <c r="D40" s="1" t="str">
        <f t="shared" si="15"/>
        <v/>
      </c>
      <c r="E40" s="1" t="str">
        <f t="shared" si="15"/>
        <v/>
      </c>
      <c r="F40" s="1" t="str">
        <f t="shared" si="15"/>
        <v/>
      </c>
      <c r="G40" s="1" t="str">
        <f t="shared" si="15"/>
        <v/>
      </c>
      <c r="H40" s="1" t="str">
        <f t="shared" si="15"/>
        <v/>
      </c>
      <c r="I40" s="1" t="str">
        <f t="shared" si="15"/>
        <v/>
      </c>
      <c r="J40" s="1" t="str">
        <f t="shared" si="15"/>
        <v/>
      </c>
      <c r="K40" s="1" t="str">
        <f t="shared" si="15"/>
        <v/>
      </c>
      <c r="L40" s="1" t="str">
        <f t="shared" si="15"/>
        <v/>
      </c>
      <c r="M40" s="1" t="str">
        <f t="shared" si="15"/>
        <v/>
      </c>
      <c r="N40" s="1" t="str">
        <f t="shared" si="15"/>
        <v/>
      </c>
      <c r="O40" s="1" t="str">
        <f t="shared" si="15"/>
        <v/>
      </c>
      <c r="P40" s="1" t="str">
        <f t="shared" si="15"/>
        <v/>
      </c>
      <c r="Q40" s="1" t="str">
        <f t="shared" si="15"/>
        <v/>
      </c>
      <c r="R40" s="1" t="str">
        <f t="shared" si="15"/>
        <v/>
      </c>
      <c r="S40" s="1" t="str">
        <f t="shared" si="15"/>
        <v/>
      </c>
      <c r="T40" s="1" t="str">
        <f t="shared" si="15"/>
        <v/>
      </c>
      <c r="U40" s="1" t="str">
        <f t="shared" si="15"/>
        <v/>
      </c>
      <c r="V40" s="1" t="str">
        <f t="shared" si="15"/>
        <v/>
      </c>
    </row>
    <row r="41" spans="1:40" hidden="1" x14ac:dyDescent="0.3">
      <c r="B41" s="1" t="s">
        <v>240</v>
      </c>
      <c r="C41" s="1" t="str">
        <f t="shared" ref="C41:V41" si="16">IF(AND(C9=2,C13=0),"MM","")</f>
        <v/>
      </c>
      <c r="D41" s="1" t="str">
        <f t="shared" si="16"/>
        <v/>
      </c>
      <c r="E41" s="1" t="str">
        <f t="shared" si="16"/>
        <v/>
      </c>
      <c r="F41" s="1" t="str">
        <f t="shared" si="16"/>
        <v/>
      </c>
      <c r="G41" s="1" t="str">
        <f t="shared" si="16"/>
        <v/>
      </c>
      <c r="H41" s="1" t="str">
        <f t="shared" si="16"/>
        <v/>
      </c>
      <c r="I41" s="1" t="str">
        <f t="shared" si="16"/>
        <v/>
      </c>
      <c r="J41" s="1" t="str">
        <f t="shared" si="16"/>
        <v/>
      </c>
      <c r="K41" s="1" t="str">
        <f t="shared" si="16"/>
        <v/>
      </c>
      <c r="L41" s="1" t="str">
        <f t="shared" si="16"/>
        <v/>
      </c>
      <c r="M41" s="1" t="str">
        <f t="shared" si="16"/>
        <v/>
      </c>
      <c r="N41" s="1" t="str">
        <f t="shared" si="16"/>
        <v/>
      </c>
      <c r="O41" s="1" t="str">
        <f t="shared" si="16"/>
        <v/>
      </c>
      <c r="P41" s="1" t="str">
        <f t="shared" si="16"/>
        <v/>
      </c>
      <c r="Q41" s="1" t="str">
        <f t="shared" si="16"/>
        <v/>
      </c>
      <c r="R41" s="1" t="str">
        <f t="shared" si="16"/>
        <v/>
      </c>
      <c r="S41" s="1" t="str">
        <f t="shared" si="16"/>
        <v/>
      </c>
      <c r="T41" s="1" t="str">
        <f t="shared" si="16"/>
        <v/>
      </c>
      <c r="U41" s="1" t="str">
        <f t="shared" si="16"/>
        <v/>
      </c>
      <c r="V41" s="1" t="str">
        <f t="shared" si="16"/>
        <v/>
      </c>
    </row>
    <row r="42" spans="1:40" hidden="1" x14ac:dyDescent="0.3">
      <c r="B42" s="1" t="s">
        <v>241</v>
      </c>
      <c r="C42" s="1" t="str">
        <f t="shared" ref="C42:V42" si="17">IF(AND(C9=3,C14=0),"MM","")</f>
        <v/>
      </c>
      <c r="D42" s="1" t="str">
        <f t="shared" si="17"/>
        <v/>
      </c>
      <c r="E42" s="1" t="str">
        <f t="shared" si="17"/>
        <v/>
      </c>
      <c r="F42" s="1" t="str">
        <f t="shared" si="17"/>
        <v/>
      </c>
      <c r="G42" s="1" t="str">
        <f t="shared" si="17"/>
        <v/>
      </c>
      <c r="H42" s="1" t="str">
        <f t="shared" si="17"/>
        <v/>
      </c>
      <c r="I42" s="1" t="str">
        <f t="shared" si="17"/>
        <v/>
      </c>
      <c r="J42" s="1" t="str">
        <f t="shared" si="17"/>
        <v/>
      </c>
      <c r="K42" s="1" t="str">
        <f t="shared" si="17"/>
        <v/>
      </c>
      <c r="L42" s="1" t="str">
        <f t="shared" si="17"/>
        <v/>
      </c>
      <c r="M42" s="1" t="str">
        <f t="shared" si="17"/>
        <v/>
      </c>
      <c r="N42" s="1" t="str">
        <f t="shared" si="17"/>
        <v/>
      </c>
      <c r="O42" s="1" t="str">
        <f t="shared" si="17"/>
        <v/>
      </c>
      <c r="P42" s="1" t="str">
        <f t="shared" si="17"/>
        <v/>
      </c>
      <c r="Q42" s="1" t="str">
        <f t="shared" si="17"/>
        <v/>
      </c>
      <c r="R42" s="1" t="str">
        <f t="shared" si="17"/>
        <v/>
      </c>
      <c r="S42" s="1" t="str">
        <f t="shared" si="17"/>
        <v/>
      </c>
      <c r="T42" s="1" t="str">
        <f t="shared" si="17"/>
        <v/>
      </c>
      <c r="U42" s="1" t="str">
        <f t="shared" si="17"/>
        <v/>
      </c>
      <c r="V42" s="1" t="str">
        <f t="shared" si="17"/>
        <v/>
      </c>
    </row>
    <row r="43" spans="1:40" hidden="1" x14ac:dyDescent="0.3">
      <c r="B43" s="1" t="s">
        <v>242</v>
      </c>
      <c r="C43" s="1" t="str">
        <f t="shared" ref="C43:V43" si="18">IF(AND(C9=4,C15=0),"MM","")</f>
        <v/>
      </c>
      <c r="D43" s="1" t="str">
        <f t="shared" si="18"/>
        <v/>
      </c>
      <c r="E43" s="1" t="str">
        <f t="shared" si="18"/>
        <v/>
      </c>
      <c r="F43" s="1" t="str">
        <f t="shared" si="18"/>
        <v/>
      </c>
      <c r="G43" s="1" t="str">
        <f t="shared" si="18"/>
        <v/>
      </c>
      <c r="H43" s="1" t="str">
        <f t="shared" si="18"/>
        <v/>
      </c>
      <c r="I43" s="1" t="str">
        <f t="shared" si="18"/>
        <v/>
      </c>
      <c r="J43" s="1" t="str">
        <f t="shared" si="18"/>
        <v/>
      </c>
      <c r="K43" s="1" t="str">
        <f t="shared" si="18"/>
        <v/>
      </c>
      <c r="L43" s="1" t="str">
        <f t="shared" si="18"/>
        <v/>
      </c>
      <c r="M43" s="1" t="str">
        <f t="shared" si="18"/>
        <v/>
      </c>
      <c r="N43" s="1" t="str">
        <f t="shared" si="18"/>
        <v/>
      </c>
      <c r="O43" s="1" t="str">
        <f t="shared" si="18"/>
        <v/>
      </c>
      <c r="P43" s="1" t="str">
        <f t="shared" si="18"/>
        <v/>
      </c>
      <c r="Q43" s="1" t="str">
        <f t="shared" si="18"/>
        <v/>
      </c>
      <c r="R43" s="1" t="str">
        <f t="shared" si="18"/>
        <v/>
      </c>
      <c r="S43" s="1" t="str">
        <f t="shared" si="18"/>
        <v/>
      </c>
      <c r="T43" s="1" t="str">
        <f t="shared" si="18"/>
        <v/>
      </c>
      <c r="U43" s="1" t="str">
        <f t="shared" si="18"/>
        <v/>
      </c>
      <c r="V43" s="1" t="str">
        <f t="shared" si="18"/>
        <v/>
      </c>
    </row>
    <row r="44" spans="1:40" hidden="1" x14ac:dyDescent="0.3">
      <c r="B44" s="1" t="s">
        <v>243</v>
      </c>
      <c r="C44" s="1" t="str">
        <f>IF(AND(C6="Yes",C11=0),"MM","")</f>
        <v/>
      </c>
      <c r="D44" s="1" t="str">
        <f>IF(AND(D6="Yes",D11=0),"MM","")</f>
        <v/>
      </c>
      <c r="E44" s="1" t="str">
        <f t="shared" ref="E44:V44" si="19">IF(AND(E6="Yes",E11=0),"MM","")</f>
        <v/>
      </c>
      <c r="F44" s="1" t="str">
        <f t="shared" si="19"/>
        <v/>
      </c>
      <c r="G44" s="1" t="str">
        <f t="shared" si="19"/>
        <v/>
      </c>
      <c r="H44" s="1" t="str">
        <f t="shared" si="19"/>
        <v/>
      </c>
      <c r="I44" s="1" t="str">
        <f t="shared" si="19"/>
        <v/>
      </c>
      <c r="J44" s="1" t="str">
        <f t="shared" si="19"/>
        <v/>
      </c>
      <c r="K44" s="1" t="str">
        <f t="shared" si="19"/>
        <v/>
      </c>
      <c r="L44" s="1" t="str">
        <f t="shared" si="19"/>
        <v/>
      </c>
      <c r="M44" s="1" t="str">
        <f t="shared" si="19"/>
        <v/>
      </c>
      <c r="N44" s="1" t="str">
        <f t="shared" si="19"/>
        <v/>
      </c>
      <c r="O44" s="1" t="str">
        <f t="shared" si="19"/>
        <v/>
      </c>
      <c r="P44" s="1" t="str">
        <f t="shared" si="19"/>
        <v/>
      </c>
      <c r="Q44" s="1" t="str">
        <f t="shared" si="19"/>
        <v/>
      </c>
      <c r="R44" s="1" t="str">
        <f t="shared" si="19"/>
        <v/>
      </c>
      <c r="S44" s="1" t="str">
        <f t="shared" si="19"/>
        <v/>
      </c>
      <c r="T44" s="1" t="str">
        <f t="shared" si="19"/>
        <v/>
      </c>
      <c r="U44" s="1" t="str">
        <f t="shared" si="19"/>
        <v/>
      </c>
      <c r="V44" s="1" t="str">
        <f t="shared" si="19"/>
        <v/>
      </c>
    </row>
    <row r="45" spans="1:40" hidden="1" x14ac:dyDescent="0.3">
      <c r="B45" s="1" t="s">
        <v>244</v>
      </c>
      <c r="C45" s="1">
        <f t="shared" ref="C45:V45" si="20">COUNTA(C20:C24)</f>
        <v>1</v>
      </c>
      <c r="D45" s="1">
        <f t="shared" si="20"/>
        <v>1</v>
      </c>
      <c r="E45" s="1">
        <f t="shared" si="20"/>
        <v>1</v>
      </c>
      <c r="F45" s="1">
        <f t="shared" si="20"/>
        <v>1</v>
      </c>
      <c r="G45" s="1">
        <f t="shared" si="20"/>
        <v>1</v>
      </c>
      <c r="H45" s="1">
        <f t="shared" si="20"/>
        <v>1</v>
      </c>
      <c r="I45" s="1">
        <f t="shared" si="20"/>
        <v>1</v>
      </c>
      <c r="J45" s="1">
        <f t="shared" si="20"/>
        <v>1</v>
      </c>
      <c r="K45" s="1">
        <f t="shared" si="20"/>
        <v>1</v>
      </c>
      <c r="L45" s="1">
        <f t="shared" si="20"/>
        <v>1</v>
      </c>
      <c r="M45" s="1">
        <f t="shared" si="20"/>
        <v>1</v>
      </c>
      <c r="N45" s="1">
        <f t="shared" si="20"/>
        <v>1</v>
      </c>
      <c r="O45" s="1">
        <f t="shared" si="20"/>
        <v>1</v>
      </c>
      <c r="P45" s="1">
        <f t="shared" si="20"/>
        <v>1</v>
      </c>
      <c r="Q45" s="1">
        <f t="shared" si="20"/>
        <v>1</v>
      </c>
      <c r="R45" s="1">
        <f t="shared" si="20"/>
        <v>1</v>
      </c>
      <c r="S45" s="1">
        <f t="shared" si="20"/>
        <v>1</v>
      </c>
      <c r="T45" s="1">
        <f t="shared" si="20"/>
        <v>1</v>
      </c>
      <c r="U45" s="1">
        <f t="shared" si="20"/>
        <v>1</v>
      </c>
      <c r="V45" s="1">
        <f t="shared" si="20"/>
        <v>1</v>
      </c>
    </row>
    <row r="46" spans="1:40" hidden="1" x14ac:dyDescent="0.3">
      <c r="B46" s="1" t="s">
        <v>245</v>
      </c>
      <c r="C46" s="1">
        <f>COUNTA(C28:C29)</f>
        <v>0</v>
      </c>
      <c r="D46" s="1">
        <f t="shared" ref="D46:V46" si="21">COUNTA(D28:D29)</f>
        <v>0</v>
      </c>
      <c r="E46" s="1">
        <f t="shared" si="21"/>
        <v>0</v>
      </c>
      <c r="F46" s="1">
        <f t="shared" si="21"/>
        <v>0</v>
      </c>
      <c r="G46" s="1">
        <f t="shared" si="21"/>
        <v>0</v>
      </c>
      <c r="H46" s="1">
        <f t="shared" si="21"/>
        <v>0</v>
      </c>
      <c r="I46" s="1">
        <f t="shared" si="21"/>
        <v>0</v>
      </c>
      <c r="J46" s="1">
        <f t="shared" si="21"/>
        <v>0</v>
      </c>
      <c r="K46" s="1">
        <f t="shared" si="21"/>
        <v>0</v>
      </c>
      <c r="L46" s="1">
        <f t="shared" si="21"/>
        <v>0</v>
      </c>
      <c r="M46" s="1">
        <f t="shared" si="21"/>
        <v>0</v>
      </c>
      <c r="N46" s="1">
        <f t="shared" si="21"/>
        <v>0</v>
      </c>
      <c r="O46" s="1">
        <f t="shared" si="21"/>
        <v>0</v>
      </c>
      <c r="P46" s="1">
        <f t="shared" si="21"/>
        <v>0</v>
      </c>
      <c r="Q46" s="1">
        <f t="shared" si="21"/>
        <v>0</v>
      </c>
      <c r="R46" s="1">
        <f t="shared" si="21"/>
        <v>0</v>
      </c>
      <c r="S46" s="1">
        <f t="shared" si="21"/>
        <v>0</v>
      </c>
      <c r="T46" s="1">
        <f t="shared" si="21"/>
        <v>0</v>
      </c>
      <c r="U46" s="1">
        <f t="shared" si="21"/>
        <v>0</v>
      </c>
      <c r="V46" s="1">
        <f t="shared" si="21"/>
        <v>0</v>
      </c>
    </row>
    <row r="47" spans="1:40" hidden="1" x14ac:dyDescent="0.3">
      <c r="B47" s="1" t="s">
        <v>246</v>
      </c>
      <c r="C47" s="1">
        <f>COUNTA(C20:C22)</f>
        <v>0</v>
      </c>
      <c r="D47" s="1">
        <f t="shared" ref="D47:V47" si="22">COUNTA(D20:D22)</f>
        <v>0</v>
      </c>
      <c r="E47" s="1">
        <f t="shared" si="22"/>
        <v>0</v>
      </c>
      <c r="F47" s="1">
        <f t="shared" si="22"/>
        <v>0</v>
      </c>
      <c r="G47" s="1">
        <f t="shared" si="22"/>
        <v>0</v>
      </c>
      <c r="H47" s="1">
        <f t="shared" si="22"/>
        <v>0</v>
      </c>
      <c r="I47" s="1">
        <f t="shared" si="22"/>
        <v>0</v>
      </c>
      <c r="J47" s="1">
        <f t="shared" si="22"/>
        <v>0</v>
      </c>
      <c r="K47" s="1">
        <f t="shared" si="22"/>
        <v>0</v>
      </c>
      <c r="L47" s="1">
        <f t="shared" si="22"/>
        <v>0</v>
      </c>
      <c r="M47" s="1">
        <f t="shared" si="22"/>
        <v>0</v>
      </c>
      <c r="N47" s="1">
        <f t="shared" si="22"/>
        <v>0</v>
      </c>
      <c r="O47" s="1">
        <f t="shared" si="22"/>
        <v>0</v>
      </c>
      <c r="P47" s="1">
        <f t="shared" si="22"/>
        <v>0</v>
      </c>
      <c r="Q47" s="1">
        <f t="shared" si="22"/>
        <v>0</v>
      </c>
      <c r="R47" s="1">
        <f t="shared" si="22"/>
        <v>0</v>
      </c>
      <c r="S47" s="1">
        <f t="shared" si="22"/>
        <v>0</v>
      </c>
      <c r="T47" s="1">
        <f t="shared" si="22"/>
        <v>0</v>
      </c>
      <c r="U47" s="1">
        <f t="shared" si="22"/>
        <v>0</v>
      </c>
      <c r="V47" s="1">
        <f t="shared" si="22"/>
        <v>0</v>
      </c>
    </row>
    <row r="48" spans="1:40" hidden="1" x14ac:dyDescent="0.3">
      <c r="B48" s="1" t="s">
        <v>247</v>
      </c>
      <c r="C48" s="2" t="str">
        <f>IF(OR(C18="No",C18=""),"OPT","")</f>
        <v>OPT</v>
      </c>
      <c r="D48" s="2" t="str">
        <f t="shared" ref="D48:V48" si="23">IF(OR(D18="No",D18=""),"OPT","")</f>
        <v>OPT</v>
      </c>
      <c r="E48" s="2" t="str">
        <f t="shared" si="23"/>
        <v>OPT</v>
      </c>
      <c r="F48" s="2" t="str">
        <f t="shared" si="23"/>
        <v>OPT</v>
      </c>
      <c r="G48" s="2" t="str">
        <f t="shared" si="23"/>
        <v>OPT</v>
      </c>
      <c r="H48" s="2" t="str">
        <f t="shared" si="23"/>
        <v>OPT</v>
      </c>
      <c r="I48" s="2" t="str">
        <f t="shared" si="23"/>
        <v>OPT</v>
      </c>
      <c r="J48" s="2" t="str">
        <f t="shared" si="23"/>
        <v>OPT</v>
      </c>
      <c r="K48" s="2" t="str">
        <f t="shared" si="23"/>
        <v>OPT</v>
      </c>
      <c r="L48" s="2" t="str">
        <f t="shared" si="23"/>
        <v>OPT</v>
      </c>
      <c r="M48" s="2" t="str">
        <f t="shared" si="23"/>
        <v>OPT</v>
      </c>
      <c r="N48" s="2" t="str">
        <f t="shared" si="23"/>
        <v>OPT</v>
      </c>
      <c r="O48" s="2" t="str">
        <f t="shared" si="23"/>
        <v>OPT</v>
      </c>
      <c r="P48" s="2" t="str">
        <f t="shared" si="23"/>
        <v>OPT</v>
      </c>
      <c r="Q48" s="2" t="str">
        <f t="shared" si="23"/>
        <v>OPT</v>
      </c>
      <c r="R48" s="2" t="str">
        <f t="shared" si="23"/>
        <v>OPT</v>
      </c>
      <c r="S48" s="2" t="str">
        <f t="shared" si="23"/>
        <v>OPT</v>
      </c>
      <c r="T48" s="2" t="str">
        <f t="shared" si="23"/>
        <v>OPT</v>
      </c>
      <c r="U48" s="2" t="str">
        <f t="shared" si="23"/>
        <v>OPT</v>
      </c>
      <c r="V48" s="2" t="str">
        <f t="shared" si="23"/>
        <v>OPT</v>
      </c>
    </row>
    <row r="49" spans="2:22" hidden="1" x14ac:dyDescent="0.3">
      <c r="B49" s="1" t="s">
        <v>248</v>
      </c>
      <c r="C49" s="24" t="str">
        <f>IF(AND(C6="No",(C11+C12+C13+C14+C15)&gt;0),"ERROR!","")</f>
        <v/>
      </c>
      <c r="D49" s="24" t="str">
        <f>IF(AND(D6="No",(D11+D12+D13+D14+D15)&gt;0),"ERROR!","")</f>
        <v/>
      </c>
      <c r="E49" s="24" t="str">
        <f t="shared" ref="E49:V49" si="24">IF(AND(E6="No",(E11+E12+E13+E14+E15)&gt;0),"ERROR!","")</f>
        <v/>
      </c>
      <c r="F49" s="24" t="str">
        <f t="shared" si="24"/>
        <v/>
      </c>
      <c r="G49" s="24" t="str">
        <f t="shared" si="24"/>
        <v/>
      </c>
      <c r="H49" s="24" t="str">
        <f t="shared" si="24"/>
        <v/>
      </c>
      <c r="I49" s="24" t="str">
        <f t="shared" si="24"/>
        <v/>
      </c>
      <c r="J49" s="24" t="str">
        <f t="shared" si="24"/>
        <v/>
      </c>
      <c r="K49" s="24" t="str">
        <f t="shared" si="24"/>
        <v/>
      </c>
      <c r="L49" s="24" t="str">
        <f t="shared" si="24"/>
        <v/>
      </c>
      <c r="M49" s="24" t="str">
        <f t="shared" si="24"/>
        <v/>
      </c>
      <c r="N49" s="24" t="str">
        <f t="shared" si="24"/>
        <v/>
      </c>
      <c r="O49" s="24" t="str">
        <f t="shared" si="24"/>
        <v/>
      </c>
      <c r="P49" s="24" t="str">
        <f t="shared" si="24"/>
        <v/>
      </c>
      <c r="Q49" s="24" t="str">
        <f t="shared" si="24"/>
        <v/>
      </c>
      <c r="R49" s="24" t="str">
        <f t="shared" si="24"/>
        <v/>
      </c>
      <c r="S49" s="24" t="str">
        <f t="shared" si="24"/>
        <v/>
      </c>
      <c r="T49" s="24" t="str">
        <f t="shared" si="24"/>
        <v/>
      </c>
      <c r="U49" s="24" t="str">
        <f t="shared" si="24"/>
        <v/>
      </c>
      <c r="V49" s="24" t="str">
        <f t="shared" si="24"/>
        <v/>
      </c>
    </row>
    <row r="50" spans="2:22" hidden="1" x14ac:dyDescent="0.3">
      <c r="B50" s="1" t="s">
        <v>249</v>
      </c>
      <c r="C50" s="24" t="str">
        <f>IF(AND(C6="",(C11+C12+C13+C14+C15)&gt;0),"ERROR!","")</f>
        <v/>
      </c>
      <c r="D50" s="24" t="str">
        <f>IF(AND(D6="",(D11+D12+D13+D14+D15)&gt;0),"ERROR!","")</f>
        <v/>
      </c>
      <c r="E50" s="24" t="str">
        <f t="shared" ref="E50:V50" si="25">IF(AND(E6="",(E11+E12+E13+E14+E15)&gt;0),"ERROR!","")</f>
        <v/>
      </c>
      <c r="F50" s="24" t="str">
        <f t="shared" si="25"/>
        <v/>
      </c>
      <c r="G50" s="24" t="str">
        <f t="shared" si="25"/>
        <v/>
      </c>
      <c r="H50" s="24" t="str">
        <f t="shared" si="25"/>
        <v/>
      </c>
      <c r="I50" s="24" t="str">
        <f t="shared" si="25"/>
        <v/>
      </c>
      <c r="J50" s="24" t="str">
        <f t="shared" si="25"/>
        <v/>
      </c>
      <c r="K50" s="24" t="str">
        <f t="shared" si="25"/>
        <v/>
      </c>
      <c r="L50" s="24" t="str">
        <f t="shared" si="25"/>
        <v/>
      </c>
      <c r="M50" s="24" t="str">
        <f t="shared" si="25"/>
        <v/>
      </c>
      <c r="N50" s="24" t="str">
        <f t="shared" si="25"/>
        <v/>
      </c>
      <c r="O50" s="24" t="str">
        <f t="shared" si="25"/>
        <v/>
      </c>
      <c r="P50" s="24" t="str">
        <f t="shared" si="25"/>
        <v/>
      </c>
      <c r="Q50" s="24" t="str">
        <f t="shared" si="25"/>
        <v/>
      </c>
      <c r="R50" s="24" t="str">
        <f t="shared" si="25"/>
        <v/>
      </c>
      <c r="S50" s="24" t="str">
        <f t="shared" si="25"/>
        <v/>
      </c>
      <c r="T50" s="24" t="str">
        <f t="shared" si="25"/>
        <v/>
      </c>
      <c r="U50" s="24" t="str">
        <f t="shared" si="25"/>
        <v/>
      </c>
      <c r="V50" s="24" t="str">
        <f t="shared" si="25"/>
        <v/>
      </c>
    </row>
    <row r="51" spans="2:22" hidden="1" x14ac:dyDescent="0.3">
      <c r="B51" s="1" t="s">
        <v>256</v>
      </c>
      <c r="C51" s="1" t="str">
        <f>IF(AND(C7="Left",'Front Specification'!C29="Left"),"CHECK","")</f>
        <v/>
      </c>
      <c r="D51" s="1" t="str">
        <f>IF(AND(D7="Left",'Front Specification'!D29="Left"),"CHECK","")</f>
        <v/>
      </c>
      <c r="E51" s="1" t="str">
        <f>IF(AND(E7="Left",'Front Specification'!E29="Left"),"CHECK","")</f>
        <v/>
      </c>
      <c r="F51" s="1" t="str">
        <f>IF(AND(F7="Left",'Front Specification'!F29="Left"),"CHECK","")</f>
        <v/>
      </c>
      <c r="G51" s="1" t="str">
        <f>IF(AND(G7="Left",'Front Specification'!G29="Left"),"CHECK","")</f>
        <v/>
      </c>
      <c r="H51" s="1" t="str">
        <f>IF(AND(H7="Left",'Front Specification'!H29="Left"),"CHECK","")</f>
        <v/>
      </c>
      <c r="I51" s="1" t="str">
        <f>IF(AND(I7="Left",'Front Specification'!I29="Left"),"CHECK","")</f>
        <v/>
      </c>
      <c r="J51" s="1" t="str">
        <f>IF(AND(J7="Left",'Front Specification'!J29="Left"),"CHECK","")</f>
        <v/>
      </c>
      <c r="K51" s="1" t="str">
        <f>IF(AND(K7="Left",'Front Specification'!K29="Left"),"CHECK","")</f>
        <v/>
      </c>
      <c r="L51" s="1" t="str">
        <f>IF(AND(L7="Left",'Front Specification'!L29="Left"),"CHECK","")</f>
        <v/>
      </c>
      <c r="M51" s="1" t="str">
        <f>IF(AND(M7="Left",'Front Specification'!M29="Left"),"CHECK","")</f>
        <v/>
      </c>
      <c r="N51" s="1" t="str">
        <f>IF(AND(N7="Left",'Front Specification'!N29="Left"),"CHECK","")</f>
        <v/>
      </c>
      <c r="O51" s="1" t="str">
        <f>IF(AND(O7="Left",'Front Specification'!O29="Left"),"CHECK","")</f>
        <v/>
      </c>
      <c r="P51" s="1" t="str">
        <f>IF(AND(P7="Left",'Front Specification'!P29="Left"),"CHECK","")</f>
        <v/>
      </c>
      <c r="Q51" s="1" t="str">
        <f>IF(AND(Q7="Left",'Front Specification'!Q29="Left"),"CHECK","")</f>
        <v/>
      </c>
      <c r="R51" s="1" t="str">
        <f>IF(AND(R7="Left",'Front Specification'!R29="Left"),"CHECK","")</f>
        <v/>
      </c>
      <c r="S51" s="1" t="str">
        <f>IF(AND(S7="Left",'Front Specification'!S29="Left"),"CHECK","")</f>
        <v/>
      </c>
      <c r="T51" s="1" t="str">
        <f>IF(AND(T7="Left",'Front Specification'!T29="Left"),"CHECK","")</f>
        <v/>
      </c>
      <c r="U51" s="1" t="str">
        <f>IF(AND(U7="Left",'Front Specification'!U29="Left"),"CHECK","")</f>
        <v/>
      </c>
      <c r="V51" s="1" t="str">
        <f>IF(AND(V7="Left",'Front Specification'!V29="Left"),"CHECK","")</f>
        <v/>
      </c>
    </row>
    <row r="52" spans="2:22" hidden="1" x14ac:dyDescent="0.3">
      <c r="B52" s="1" t="s">
        <v>257</v>
      </c>
      <c r="C52" s="1" t="str">
        <f>IF(AND(C7="Right",'Front Specification'!C29="Right"),"CHECK","")</f>
        <v/>
      </c>
      <c r="D52" s="1" t="str">
        <f>IF(AND(D7="Right",'Front Specification'!D29="Right"),"CHECK","")</f>
        <v/>
      </c>
      <c r="E52" s="1" t="str">
        <f>IF(AND(E7="Right",'Front Specification'!E29="Right"),"CHECK","")</f>
        <v/>
      </c>
      <c r="F52" s="1" t="str">
        <f>IF(AND(F7="Right",'Front Specification'!F29="Right"),"CHECK","")</f>
        <v/>
      </c>
      <c r="G52" s="1" t="str">
        <f>IF(AND(G7="Right",'Front Specification'!G29="Right"),"CHECK","")</f>
        <v/>
      </c>
      <c r="H52" s="1" t="str">
        <f>IF(AND(H7="Right",'Front Specification'!H29="Right"),"CHECK","")</f>
        <v/>
      </c>
      <c r="I52" s="1" t="str">
        <f>IF(AND(I7="Right",'Front Specification'!I29="Right"),"CHECK","")</f>
        <v/>
      </c>
      <c r="J52" s="1" t="str">
        <f>IF(AND(J7="Right",'Front Specification'!J29="Right"),"CHECK","")</f>
        <v/>
      </c>
      <c r="K52" s="1" t="str">
        <f>IF(AND(K7="Right",'Front Specification'!K29="Right"),"CHECK","")</f>
        <v/>
      </c>
      <c r="L52" s="1" t="str">
        <f>IF(AND(L7="Right",'Front Specification'!L29="Right"),"CHECK","")</f>
        <v/>
      </c>
      <c r="M52" s="1" t="str">
        <f>IF(AND(M7="Right",'Front Specification'!M29="Right"),"CHECK","")</f>
        <v/>
      </c>
      <c r="N52" s="1" t="str">
        <f>IF(AND(N7="Right",'Front Specification'!N29="Right"),"CHECK","")</f>
        <v/>
      </c>
      <c r="O52" s="1" t="str">
        <f>IF(AND(O7="Right",'Front Specification'!O29="Right"),"CHECK","")</f>
        <v/>
      </c>
      <c r="P52" s="1" t="str">
        <f>IF(AND(P7="Right",'Front Specification'!P29="Right"),"CHECK","")</f>
        <v/>
      </c>
      <c r="Q52" s="1" t="str">
        <f>IF(AND(Q7="Right",'Front Specification'!Q29="Right"),"CHECK","")</f>
        <v/>
      </c>
      <c r="R52" s="1" t="str">
        <f>IF(AND(R7="Right",'Front Specification'!R29="Right"),"CHECK","")</f>
        <v/>
      </c>
      <c r="S52" s="1" t="str">
        <f>IF(AND(S7="Right",'Front Specification'!S29="Right"),"CHECK","")</f>
        <v/>
      </c>
      <c r="T52" s="1" t="str">
        <f>IF(AND(T7="Right",'Front Specification'!T29="Right"),"CHECK","")</f>
        <v/>
      </c>
      <c r="U52" s="1" t="str">
        <f>IF(AND(U7="Right",'Front Specification'!U29="Right"),"CHECK","")</f>
        <v/>
      </c>
      <c r="V52" s="1" t="str">
        <f>IF(AND(V7="Right",'Front Specification'!V29="Right"),"CHECK","")</f>
        <v/>
      </c>
    </row>
    <row r="53" spans="2:22" hidden="1" x14ac:dyDescent="0.3">
      <c r="B53" s="1" t="s">
        <v>256</v>
      </c>
      <c r="C53" s="1" t="str">
        <f>IF(AND(C22="Left",'Front Specification'!C29="Left"),"CHECK","")</f>
        <v/>
      </c>
      <c r="D53" s="1" t="str">
        <f>IF(AND(D22="Left",'Front Specification'!D29="Left"),"CHECK","")</f>
        <v/>
      </c>
      <c r="E53" s="1" t="str">
        <f>IF(AND(E22="Left",'Front Specification'!E29="Left"),"CHECK","")</f>
        <v/>
      </c>
      <c r="F53" s="1" t="str">
        <f>IF(AND(F22="Left",'Front Specification'!F29="Left"),"CHECK","")</f>
        <v/>
      </c>
      <c r="G53" s="1" t="str">
        <f>IF(AND(G22="Left",'Front Specification'!G29="Left"),"CHECK","")</f>
        <v/>
      </c>
      <c r="H53" s="1" t="str">
        <f>IF(AND(H22="Left",'Front Specification'!H29="Left"),"CHECK","")</f>
        <v/>
      </c>
      <c r="I53" s="1" t="str">
        <f>IF(AND(I22="Left",'Front Specification'!I29="Left"),"CHECK","")</f>
        <v/>
      </c>
      <c r="J53" s="1" t="str">
        <f>IF(AND(J22="Left",'Front Specification'!J29="Left"),"CHECK","")</f>
        <v/>
      </c>
      <c r="K53" s="1" t="str">
        <f>IF(AND(K22="Left",'Front Specification'!K29="Left"),"CHECK","")</f>
        <v/>
      </c>
      <c r="L53" s="1" t="str">
        <f>IF(AND(L22="Left",'Front Specification'!L29="Left"),"CHECK","")</f>
        <v/>
      </c>
      <c r="M53" s="1" t="str">
        <f>IF(AND(M22="Left",'Front Specification'!M29="Left"),"CHECK","")</f>
        <v/>
      </c>
      <c r="N53" s="1" t="str">
        <f>IF(AND(N22="Left",'Front Specification'!N29="Left"),"CHECK","")</f>
        <v/>
      </c>
      <c r="O53" s="1" t="str">
        <f>IF(AND(O22="Left",'Front Specification'!O29="Left"),"CHECK","")</f>
        <v/>
      </c>
      <c r="P53" s="1" t="str">
        <f>IF(AND(P22="Left",'Front Specification'!P29="Left"),"CHECK","")</f>
        <v/>
      </c>
      <c r="Q53" s="1" t="str">
        <f>IF(AND(Q22="Left",'Front Specification'!Q29="Left"),"CHECK","")</f>
        <v/>
      </c>
      <c r="R53" s="1" t="str">
        <f>IF(AND(R22="Left",'Front Specification'!R29="Left"),"CHECK","")</f>
        <v/>
      </c>
      <c r="S53" s="1" t="str">
        <f>IF(AND(S22="Left",'Front Specification'!S29="Left"),"CHECK","")</f>
        <v/>
      </c>
      <c r="T53" s="1" t="str">
        <f>IF(AND(T22="Left",'Front Specification'!T29="Left"),"CHECK","")</f>
        <v/>
      </c>
      <c r="U53" s="1" t="str">
        <f>IF(AND(U22="Left",'Front Specification'!U29="Left"),"CHECK","")</f>
        <v/>
      </c>
      <c r="V53" s="1" t="str">
        <f>IF(AND(V22="Left",'Front Specification'!V29="Left"),"CHECK","")</f>
        <v/>
      </c>
    </row>
    <row r="54" spans="2:22" hidden="1" x14ac:dyDescent="0.3">
      <c r="B54" s="1" t="s">
        <v>257</v>
      </c>
      <c r="C54" s="1" t="str">
        <f>IF(AND(C22="Right",'Front Specification'!C29="Right"),"CHECK","")</f>
        <v/>
      </c>
      <c r="D54" s="1" t="str">
        <f>IF(AND(D22="Right",'Front Specification'!D29="Right"),"CHECK","")</f>
        <v/>
      </c>
      <c r="E54" s="1" t="str">
        <f>IF(AND(E22="Right",'Front Specification'!E29="Right"),"CHECK","")</f>
        <v/>
      </c>
      <c r="F54" s="1" t="str">
        <f>IF(AND(F22="Right",'Front Specification'!F29="Right"),"CHECK","")</f>
        <v/>
      </c>
      <c r="G54" s="1" t="str">
        <f>IF(AND(G22="Right",'Front Specification'!G29="Right"),"CHECK","")</f>
        <v/>
      </c>
      <c r="H54" s="1" t="str">
        <f>IF(AND(H22="Right",'Front Specification'!H29="Right"),"CHECK","")</f>
        <v/>
      </c>
      <c r="I54" s="1" t="str">
        <f>IF(AND(I22="Right",'Front Specification'!I29="Right"),"CHECK","")</f>
        <v/>
      </c>
      <c r="J54" s="1" t="str">
        <f>IF(AND(J22="Right",'Front Specification'!J29="Right"),"CHECK","")</f>
        <v/>
      </c>
      <c r="K54" s="1" t="str">
        <f>IF(AND(K22="Right",'Front Specification'!K29="Right"),"CHECK","")</f>
        <v/>
      </c>
      <c r="L54" s="1" t="str">
        <f>IF(AND(L22="Right",'Front Specification'!L29="Right"),"CHECK","")</f>
        <v/>
      </c>
      <c r="M54" s="1" t="str">
        <f>IF(AND(M22="Right",'Front Specification'!M29="Right"),"CHECK","")</f>
        <v/>
      </c>
      <c r="N54" s="1" t="str">
        <f>IF(AND(N22="Right",'Front Specification'!N29="Right"),"CHECK","")</f>
        <v/>
      </c>
      <c r="O54" s="1" t="str">
        <f>IF(AND(O22="Right",'Front Specification'!O29="Right"),"CHECK","")</f>
        <v/>
      </c>
      <c r="P54" s="1" t="str">
        <f>IF(AND(P22="Right",'Front Specification'!P29="Right"),"CHECK","")</f>
        <v/>
      </c>
      <c r="Q54" s="1" t="str">
        <f>IF(AND(Q22="Right",'Front Specification'!Q29="Right"),"CHECK","")</f>
        <v/>
      </c>
      <c r="R54" s="1" t="str">
        <f>IF(AND(R22="Right",'Front Specification'!R29="Right"),"CHECK","")</f>
        <v/>
      </c>
      <c r="S54" s="1" t="str">
        <f>IF(AND(S22="Right",'Front Specification'!S29="Right"),"CHECK","")</f>
        <v/>
      </c>
      <c r="T54" s="1" t="str">
        <f>IF(AND(T22="Right",'Front Specification'!T29="Right"),"CHECK","")</f>
        <v/>
      </c>
      <c r="U54" s="1" t="str">
        <f>IF(AND(U22="Right",'Front Specification'!U29="Right"),"CHECK","")</f>
        <v/>
      </c>
      <c r="V54" s="1" t="str">
        <f>IF(AND(V22="Right",'Front Specification'!V29="Right"),"CHECK","")</f>
        <v/>
      </c>
    </row>
    <row r="55" spans="2:22" hidden="1" x14ac:dyDescent="0.3">
      <c r="C55" s="24" t="str">
        <f>IF(AND(C6="No",(C9+C11+C12+C13+C14+C15)&gt;0),"ERROR!","")</f>
        <v/>
      </c>
      <c r="D55" s="24" t="str">
        <f>IF(AND(D6="No",(D9+D11+D12+D13+D14+D15)&gt;0),"ERROR!","")</f>
        <v/>
      </c>
      <c r="E55" s="24" t="str">
        <f t="shared" ref="E55:V55" si="26">IF(AND(E6="No",(E9+E11+E12+E13+E14+E15)&gt;0),"ERROR!","")</f>
        <v/>
      </c>
      <c r="F55" s="24" t="str">
        <f t="shared" si="26"/>
        <v/>
      </c>
      <c r="G55" s="24" t="str">
        <f t="shared" si="26"/>
        <v/>
      </c>
      <c r="H55" s="24" t="str">
        <f t="shared" si="26"/>
        <v/>
      </c>
      <c r="I55" s="24" t="str">
        <f t="shared" si="26"/>
        <v/>
      </c>
      <c r="J55" s="24" t="str">
        <f t="shared" si="26"/>
        <v/>
      </c>
      <c r="K55" s="24" t="str">
        <f t="shared" si="26"/>
        <v/>
      </c>
      <c r="L55" s="24" t="str">
        <f t="shared" si="26"/>
        <v/>
      </c>
      <c r="M55" s="24" t="str">
        <f t="shared" si="26"/>
        <v/>
      </c>
      <c r="N55" s="24" t="str">
        <f t="shared" si="26"/>
        <v/>
      </c>
      <c r="O55" s="24" t="str">
        <f t="shared" si="26"/>
        <v/>
      </c>
      <c r="P55" s="24" t="str">
        <f t="shared" si="26"/>
        <v/>
      </c>
      <c r="Q55" s="24" t="str">
        <f t="shared" si="26"/>
        <v/>
      </c>
      <c r="R55" s="24" t="str">
        <f t="shared" si="26"/>
        <v/>
      </c>
      <c r="S55" s="24" t="str">
        <f t="shared" si="26"/>
        <v/>
      </c>
      <c r="T55" s="24" t="str">
        <f t="shared" si="26"/>
        <v/>
      </c>
      <c r="U55" s="24" t="str">
        <f t="shared" si="26"/>
        <v/>
      </c>
      <c r="V55" s="24" t="str">
        <f t="shared" si="26"/>
        <v/>
      </c>
    </row>
    <row r="56" spans="2:22" hidden="1" x14ac:dyDescent="0.3">
      <c r="C56" s="24" t="str">
        <f>IF(AND(C6="",(C9+C11+C12+C13+C14+C15)&gt;0),"ERROR!","")</f>
        <v/>
      </c>
      <c r="D56" s="24" t="str">
        <f>IF(AND(D6="",(D9+D11+D12+D13+D14+D15)&gt;0),"ERROR!","")</f>
        <v/>
      </c>
      <c r="E56" s="24" t="str">
        <f t="shared" ref="E56:V56" si="27">IF(AND(E6="",(E9+E11+E12+E13+E14+E15)&gt;0),"ERROR!","")</f>
        <v/>
      </c>
      <c r="F56" s="24" t="str">
        <f t="shared" si="27"/>
        <v/>
      </c>
      <c r="G56" s="24" t="str">
        <f t="shared" si="27"/>
        <v/>
      </c>
      <c r="H56" s="24" t="str">
        <f t="shared" si="27"/>
        <v/>
      </c>
      <c r="I56" s="24" t="str">
        <f t="shared" si="27"/>
        <v/>
      </c>
      <c r="J56" s="24" t="str">
        <f t="shared" si="27"/>
        <v/>
      </c>
      <c r="K56" s="24" t="str">
        <f t="shared" si="27"/>
        <v/>
      </c>
      <c r="L56" s="24" t="str">
        <f t="shared" si="27"/>
        <v/>
      </c>
      <c r="M56" s="24" t="str">
        <f t="shared" si="27"/>
        <v/>
      </c>
      <c r="N56" s="24" t="str">
        <f t="shared" si="27"/>
        <v/>
      </c>
      <c r="O56" s="24" t="str">
        <f t="shared" si="27"/>
        <v/>
      </c>
      <c r="P56" s="24" t="str">
        <f t="shared" si="27"/>
        <v/>
      </c>
      <c r="Q56" s="24" t="str">
        <f t="shared" si="27"/>
        <v/>
      </c>
      <c r="R56" s="24" t="str">
        <f t="shared" si="27"/>
        <v/>
      </c>
      <c r="S56" s="24" t="str">
        <f t="shared" si="27"/>
        <v/>
      </c>
      <c r="T56" s="24" t="str">
        <f t="shared" si="27"/>
        <v/>
      </c>
      <c r="U56" s="24" t="str">
        <f t="shared" si="27"/>
        <v/>
      </c>
      <c r="V56" s="24" t="str">
        <f t="shared" si="27"/>
        <v/>
      </c>
    </row>
    <row r="57" spans="2:22" hidden="1" x14ac:dyDescent="0.3"/>
    <row r="58" spans="2:22" hidden="1" x14ac:dyDescent="0.3"/>
    <row r="59" spans="2:22" hidden="1" x14ac:dyDescent="0.3"/>
  </sheetData>
  <sheetProtection algorithmName="SHA-512" hashValue="Xgoh8JYYE5hbxq+wih80VmubXG+L8pDyPuqvBQAsdfRs8MfqHoV81+H69O7L/UWuPZsBdEAzo3HGG60Xg9SYJA==" saltValue="jwKPawapxhtispl+cB+udA==" spinCount="100000" sheet="1" objects="1" scenarios="1" selectLockedCells="1"/>
  <mergeCells count="3">
    <mergeCell ref="A1:K1"/>
    <mergeCell ref="A2:K2"/>
    <mergeCell ref="A3:V3"/>
  </mergeCells>
  <dataValidations count="4">
    <dataValidation type="list" allowBlank="1" showInputMessage="1" showErrorMessage="1" sqref="C21:V21 C7:V7" xr:uid="{00000000-0002-0000-0100-000000000000}">
      <formula1>INDIRECT(C6)</formula1>
    </dataValidation>
    <dataValidation type="list" allowBlank="1" showInputMessage="1" showErrorMessage="1" sqref="C18:V18 C32:V32 C24:V24 C27:V27 C6:V6" xr:uid="{00000000-0002-0000-0100-000001000000}">
      <formula1>$Y$5:$Z$5</formula1>
    </dataValidation>
    <dataValidation type="list" allowBlank="1" showInputMessage="1" showErrorMessage="1" sqref="C20:V20" xr:uid="{00000000-0002-0000-0100-000002000000}">
      <formula1>$Z$9:$AB$9</formula1>
    </dataValidation>
    <dataValidation type="list" allowBlank="1" showInputMessage="1" showErrorMessage="1" sqref="C22:V22" xr:uid="{00000000-0002-0000-0100-000003000000}">
      <formula1>$Y$14:$Z$14</formula1>
    </dataValidation>
  </dataValidations>
  <printOptions horizontalCentered="1"/>
  <pageMargins left="0.51181102362204722" right="0.51181102362204722" top="0.74803149606299213" bottom="0.74803149606299213" header="0.31496062992125984" footer="0.31496062992125984"/>
  <pageSetup paperSize="9" scale="65" orientation="landscape" verticalDpi="360" r:id="rId1"/>
  <colBreaks count="1" manualBreakCount="1">
    <brk id="12" max="29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M57"/>
  <sheetViews>
    <sheetView showGridLines="0" showRowColHeaders="0" showZeros="0" zoomScale="75" zoomScaleNormal="75" workbookViewId="0">
      <pane xSplit="1" topLeftCell="B1" activePane="topRight" state="frozen"/>
      <selection pane="topRight" activeCell="E70" sqref="E70"/>
    </sheetView>
  </sheetViews>
  <sheetFormatPr defaultColWidth="9.109375" defaultRowHeight="14.4" x14ac:dyDescent="0.3"/>
  <cols>
    <col min="1" max="1" width="38.109375" style="1" customWidth="1"/>
    <col min="2" max="2" width="5.33203125" style="1" customWidth="1"/>
    <col min="3" max="3" width="15.6640625" style="88" customWidth="1"/>
    <col min="4" max="22" width="15.6640625" style="1" customWidth="1"/>
    <col min="23" max="26" width="0" style="1" hidden="1" customWidth="1"/>
    <col min="27" max="29" width="9.109375" style="1" hidden="1" customWidth="1"/>
    <col min="30" max="30" width="15.88671875" style="88" hidden="1" customWidth="1"/>
    <col min="31" max="35" width="9.109375" style="1" hidden="1" customWidth="1"/>
    <col min="36" max="40" width="0" style="1" hidden="1" customWidth="1"/>
    <col min="41" max="16384" width="9.109375" style="1"/>
  </cols>
  <sheetData>
    <row r="1" spans="1:39" ht="28.5" customHeight="1" x14ac:dyDescent="0.3">
      <c r="A1" s="120" t="s">
        <v>147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24"/>
      <c r="M1" s="24"/>
      <c r="N1" s="24"/>
      <c r="O1" s="24"/>
      <c r="P1" s="24"/>
      <c r="Q1" s="24"/>
      <c r="R1" s="24"/>
      <c r="S1" s="24"/>
      <c r="T1" s="24"/>
      <c r="U1" s="24"/>
      <c r="AD1" s="1"/>
      <c r="AL1" s="25"/>
      <c r="AM1" s="25"/>
    </row>
    <row r="2" spans="1:39" ht="70.5" customHeight="1" x14ac:dyDescent="0.3">
      <c r="A2" s="121" t="s">
        <v>222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24"/>
      <c r="M2" s="24"/>
      <c r="N2" s="24"/>
      <c r="O2" s="24"/>
      <c r="P2" s="24"/>
      <c r="Q2" s="24"/>
      <c r="R2" s="24"/>
      <c r="S2" s="24"/>
      <c r="T2" s="24"/>
      <c r="U2" s="24"/>
      <c r="AD2" s="1"/>
      <c r="AL2" s="25"/>
      <c r="AM2" s="25"/>
    </row>
    <row r="3" spans="1:39" ht="15.75" customHeight="1" x14ac:dyDescent="0.3"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AA3" s="26" t="s">
        <v>0</v>
      </c>
      <c r="AB3" s="26" t="s">
        <v>1</v>
      </c>
      <c r="AC3" s="26" t="s">
        <v>2</v>
      </c>
      <c r="AD3" s="26" t="s">
        <v>3</v>
      </c>
      <c r="AE3" s="26" t="s">
        <v>4</v>
      </c>
      <c r="AF3" s="26" t="s">
        <v>5</v>
      </c>
      <c r="AG3" s="26" t="s">
        <v>169</v>
      </c>
      <c r="AL3" s="25"/>
      <c r="AM3" s="25"/>
    </row>
    <row r="4" spans="1:39" x14ac:dyDescent="0.3">
      <c r="A4" s="131" t="s">
        <v>6</v>
      </c>
      <c r="B4" s="132"/>
      <c r="C4" s="76">
        <v>1</v>
      </c>
      <c r="D4" s="76">
        <v>2</v>
      </c>
      <c r="E4" s="76">
        <v>3</v>
      </c>
      <c r="F4" s="76">
        <v>4</v>
      </c>
      <c r="G4" s="76">
        <v>5</v>
      </c>
      <c r="H4" s="76">
        <v>6</v>
      </c>
      <c r="I4" s="76">
        <v>7</v>
      </c>
      <c r="J4" s="76">
        <v>8</v>
      </c>
      <c r="K4" s="76">
        <v>9</v>
      </c>
      <c r="L4" s="76">
        <v>10</v>
      </c>
      <c r="M4" s="76">
        <v>11</v>
      </c>
      <c r="N4" s="76">
        <v>12</v>
      </c>
      <c r="O4" s="76">
        <v>13</v>
      </c>
      <c r="P4" s="76">
        <v>14</v>
      </c>
      <c r="Q4" s="76">
        <v>15</v>
      </c>
      <c r="R4" s="76">
        <v>16</v>
      </c>
      <c r="S4" s="76">
        <v>17</v>
      </c>
      <c r="T4" s="76">
        <v>18</v>
      </c>
      <c r="U4" s="76">
        <v>19</v>
      </c>
      <c r="V4" s="76">
        <v>20</v>
      </c>
      <c r="AD4" s="77"/>
      <c r="AE4" s="26"/>
      <c r="AF4" s="26"/>
      <c r="AG4" s="26"/>
      <c r="AH4" s="26"/>
      <c r="AI4" s="26"/>
      <c r="AJ4" s="26"/>
    </row>
    <row r="5" spans="1:39" x14ac:dyDescent="0.3">
      <c r="A5" s="133"/>
      <c r="B5" s="134"/>
      <c r="C5" s="78"/>
      <c r="D5" s="78"/>
      <c r="E5" s="78"/>
      <c r="F5" s="78"/>
      <c r="G5" s="78"/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AD5" s="77"/>
      <c r="AE5" s="79"/>
      <c r="AF5" s="26"/>
      <c r="AG5" s="26"/>
      <c r="AH5" s="26"/>
      <c r="AI5" s="26"/>
      <c r="AJ5" s="26"/>
    </row>
    <row r="6" spans="1:39" x14ac:dyDescent="0.3">
      <c r="A6" s="129" t="s">
        <v>131</v>
      </c>
      <c r="B6" s="13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AD6" s="77"/>
      <c r="AE6" s="79"/>
      <c r="AF6" s="26"/>
      <c r="AG6" s="26"/>
      <c r="AH6" s="26"/>
      <c r="AI6" s="26"/>
      <c r="AJ6" s="26"/>
    </row>
    <row r="7" spans="1:39" x14ac:dyDescent="0.3">
      <c r="A7" s="123"/>
      <c r="B7" s="124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AD7" s="77"/>
      <c r="AE7" s="79"/>
      <c r="AF7" s="26"/>
      <c r="AG7" s="26"/>
      <c r="AH7" s="26"/>
      <c r="AI7" s="26"/>
      <c r="AJ7" s="26"/>
    </row>
    <row r="8" spans="1:39" x14ac:dyDescent="0.3">
      <c r="A8" s="129" t="s">
        <v>122</v>
      </c>
      <c r="B8" s="130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AD8" s="77"/>
      <c r="AE8" s="79"/>
      <c r="AF8" s="26"/>
      <c r="AG8" s="26"/>
      <c r="AH8" s="26"/>
      <c r="AI8" s="26"/>
      <c r="AJ8" s="26"/>
    </row>
    <row r="9" spans="1:39" x14ac:dyDescent="0.3">
      <c r="A9" s="123" t="s">
        <v>117</v>
      </c>
      <c r="B9" s="124"/>
      <c r="C9" s="82">
        <f>Costing!C39*(('Front Specification'!C6+'Front Specification'!C7)*2/1000)</f>
        <v>0</v>
      </c>
      <c r="D9" s="82">
        <f>Costing!D39*(('Front Specification'!D6+'Front Specification'!D7)*2/1000)</f>
        <v>0</v>
      </c>
      <c r="E9" s="82">
        <f>Costing!E39*(('Front Specification'!E6+'Front Specification'!E7)*2/1000)</f>
        <v>0</v>
      </c>
      <c r="F9" s="82">
        <f>Costing!F39*(('Front Specification'!F6+'Front Specification'!F7)*2/1000)</f>
        <v>0</v>
      </c>
      <c r="G9" s="82">
        <f>Costing!G39*(('Front Specification'!G6+'Front Specification'!G7)*2/1000)</f>
        <v>0</v>
      </c>
      <c r="H9" s="82">
        <f>Costing!H39*(('Front Specification'!H6+'Front Specification'!H7)*2/1000)</f>
        <v>0</v>
      </c>
      <c r="I9" s="82">
        <f>Costing!I39*(('Front Specification'!I6+'Front Specification'!I7)*2/1000)</f>
        <v>0</v>
      </c>
      <c r="J9" s="82">
        <f>Costing!J39*(('Front Specification'!J6+'Front Specification'!J7)*2/1000)</f>
        <v>0</v>
      </c>
      <c r="K9" s="82">
        <f>Costing!K39*(('Front Specification'!K6+'Front Specification'!K7)*2/1000)</f>
        <v>0</v>
      </c>
      <c r="L9" s="82">
        <f>Costing!L39*(('Front Specification'!L6+'Front Specification'!L7)*2/1000)</f>
        <v>0</v>
      </c>
      <c r="M9" s="82">
        <f>Costing!M39*(('Front Specification'!M6+'Front Specification'!M7)*2/1000)</f>
        <v>0</v>
      </c>
      <c r="N9" s="82">
        <f>Costing!N39*(('Front Specification'!N6+'Front Specification'!N7)*2/1000)</f>
        <v>0</v>
      </c>
      <c r="O9" s="82">
        <f>Costing!O39*(('Front Specification'!O6+'Front Specification'!O7)*2/1000)</f>
        <v>0</v>
      </c>
      <c r="P9" s="82">
        <f>Costing!P39*(('Front Specification'!P6+'Front Specification'!P7)*2/1000)</f>
        <v>0</v>
      </c>
      <c r="Q9" s="82">
        <f>Costing!Q39*(('Front Specification'!Q6+'Front Specification'!Q7)*2/1000)</f>
        <v>0</v>
      </c>
      <c r="R9" s="82">
        <f>Costing!R39*(('Front Specification'!R6+'Front Specification'!R7)*2/1000)</f>
        <v>0</v>
      </c>
      <c r="S9" s="82">
        <f>Costing!S39*(('Front Specification'!S6+'Front Specification'!S7)*2/1000)</f>
        <v>0</v>
      </c>
      <c r="T9" s="82">
        <f>Costing!T39*(('Front Specification'!T6+'Front Specification'!T7)*2/1000)</f>
        <v>0</v>
      </c>
      <c r="U9" s="82">
        <f>Costing!U39*(('Front Specification'!U6+'Front Specification'!U7)*2/1000)</f>
        <v>0</v>
      </c>
      <c r="V9" s="82">
        <f>Costing!V39*(('Front Specification'!V6+'Front Specification'!V7)*2/1000)</f>
        <v>0</v>
      </c>
      <c r="AD9" s="77"/>
      <c r="AE9" s="79"/>
      <c r="AF9" s="26"/>
      <c r="AG9" s="26"/>
      <c r="AH9" s="26"/>
      <c r="AI9" s="26"/>
      <c r="AJ9" s="26"/>
    </row>
    <row r="10" spans="1:39" x14ac:dyDescent="0.3">
      <c r="A10" s="123" t="s">
        <v>118</v>
      </c>
      <c r="B10" s="124"/>
      <c r="C10" s="82">
        <f>Costing!C40*('Front Specification'!C6*'Front Specification'!C7/1000000)</f>
        <v>0</v>
      </c>
      <c r="D10" s="82">
        <f>Costing!D40*('Front Specification'!D6*'Front Specification'!D7/1000000)</f>
        <v>0</v>
      </c>
      <c r="E10" s="82">
        <f>Costing!E40*('Front Specification'!E6*'Front Specification'!E7/1000000)</f>
        <v>0</v>
      </c>
      <c r="F10" s="82">
        <f>Costing!F40*('Front Specification'!F6*'Front Specification'!F7/1000000)</f>
        <v>0</v>
      </c>
      <c r="G10" s="82">
        <f>Costing!G40*('Front Specification'!G6*'Front Specification'!G7/1000000)</f>
        <v>0</v>
      </c>
      <c r="H10" s="82">
        <f>Costing!H40*('Front Specification'!H6*'Front Specification'!H7/1000000)</f>
        <v>0</v>
      </c>
      <c r="I10" s="82">
        <f>Costing!I40*('Front Specification'!I6*'Front Specification'!I7/1000000)</f>
        <v>0</v>
      </c>
      <c r="J10" s="82">
        <f>Costing!J40*('Front Specification'!J6*'Front Specification'!J7/1000000)</f>
        <v>0</v>
      </c>
      <c r="K10" s="82">
        <f>Costing!K40*('Front Specification'!K6*'Front Specification'!K7/1000000)</f>
        <v>0</v>
      </c>
      <c r="L10" s="82">
        <f>Costing!L40*('Front Specification'!L6*'Front Specification'!L7/1000000)</f>
        <v>0</v>
      </c>
      <c r="M10" s="82">
        <f>Costing!M40*('Front Specification'!M6*'Front Specification'!M7/1000000)</f>
        <v>0</v>
      </c>
      <c r="N10" s="82">
        <f>Costing!N40*('Front Specification'!N6*'Front Specification'!N7/1000000)</f>
        <v>0</v>
      </c>
      <c r="O10" s="82">
        <f>Costing!O40*('Front Specification'!O6*'Front Specification'!O7/1000000)</f>
        <v>0</v>
      </c>
      <c r="P10" s="82">
        <f>Costing!P40*('Front Specification'!P6*'Front Specification'!P7/1000000)</f>
        <v>0</v>
      </c>
      <c r="Q10" s="82">
        <f>Costing!Q40*('Front Specification'!Q6*'Front Specification'!Q7/1000000)</f>
        <v>0</v>
      </c>
      <c r="R10" s="82">
        <f>Costing!R40*('Front Specification'!R6*'Front Specification'!R7/1000000)</f>
        <v>0</v>
      </c>
      <c r="S10" s="82">
        <f>Costing!S40*('Front Specification'!S6*'Front Specification'!S7/1000000)</f>
        <v>0</v>
      </c>
      <c r="T10" s="82">
        <f>Costing!T40*('Front Specification'!T6*'Front Specification'!T7/1000000)</f>
        <v>0</v>
      </c>
      <c r="U10" s="82">
        <f>Costing!U40*('Front Specification'!U6*'Front Specification'!U7/1000000)</f>
        <v>0</v>
      </c>
      <c r="V10" s="82">
        <f>Costing!V40*('Front Specification'!V6*'Front Specification'!V7/1000000)</f>
        <v>0</v>
      </c>
      <c r="AD10" s="77"/>
      <c r="AE10" s="83"/>
    </row>
    <row r="11" spans="1:39" x14ac:dyDescent="0.3">
      <c r="A11" s="123" t="s">
        <v>120</v>
      </c>
      <c r="B11" s="124"/>
      <c r="C11" s="82">
        <f>IF('Front Specification'!C15="Yes",0.5,0)</f>
        <v>0</v>
      </c>
      <c r="D11" s="82">
        <f>IF('Front Specification'!D15="Yes",0.5,0)</f>
        <v>0</v>
      </c>
      <c r="E11" s="82">
        <f>IF('Front Specification'!E15="Yes",0.5,0)</f>
        <v>0</v>
      </c>
      <c r="F11" s="82">
        <f>IF('Front Specification'!F15="Yes",0.5,0)</f>
        <v>0</v>
      </c>
      <c r="G11" s="82">
        <f>IF('Front Specification'!G15="Yes",0.5,0)</f>
        <v>0</v>
      </c>
      <c r="H11" s="82">
        <f>IF('Front Specification'!H15="Yes",0.5,0)</f>
        <v>0</v>
      </c>
      <c r="I11" s="82">
        <f>IF('Front Specification'!I15="Yes",0.5,0)</f>
        <v>0</v>
      </c>
      <c r="J11" s="82">
        <f>IF('Front Specification'!J15="Yes",0.5,0)</f>
        <v>0</v>
      </c>
      <c r="K11" s="82">
        <f>IF('Front Specification'!K15="Yes",0.5,0)</f>
        <v>0</v>
      </c>
      <c r="L11" s="82">
        <f>IF('Front Specification'!L15="Yes",0.5,0)</f>
        <v>0</v>
      </c>
      <c r="M11" s="82">
        <f>IF('Front Specification'!M15="Yes",0.5,0)</f>
        <v>0</v>
      </c>
      <c r="N11" s="82">
        <f>IF('Front Specification'!N15="Yes",0.5,0)</f>
        <v>0</v>
      </c>
      <c r="O11" s="82">
        <f>IF('Front Specification'!O15="Yes",0.5,0)</f>
        <v>0</v>
      </c>
      <c r="P11" s="82">
        <f>IF('Front Specification'!P15="Yes",0.5,0)</f>
        <v>0</v>
      </c>
      <c r="Q11" s="82">
        <f>IF('Front Specification'!Q15="Yes",0.5,0)</f>
        <v>0</v>
      </c>
      <c r="R11" s="82">
        <f>IF('Front Specification'!R15="Yes",0.5,0)</f>
        <v>0</v>
      </c>
      <c r="S11" s="82">
        <f>IF('Front Specification'!S15="Yes",0.5,0)</f>
        <v>0</v>
      </c>
      <c r="T11" s="82">
        <f>IF('Front Specification'!T15="Yes",0.5,0)</f>
        <v>0</v>
      </c>
      <c r="U11" s="82">
        <f>IF('Front Specification'!U15="Yes",0.5,0)</f>
        <v>0</v>
      </c>
      <c r="V11" s="82">
        <f>IF('Front Specification'!V15="Yes",0.5,0)</f>
        <v>0</v>
      </c>
      <c r="AD11" s="77"/>
      <c r="AE11" s="83"/>
    </row>
    <row r="12" spans="1:39" x14ac:dyDescent="0.3">
      <c r="A12" s="123" t="s">
        <v>119</v>
      </c>
      <c r="B12" s="124"/>
      <c r="C12" s="82">
        <f>IF(C47=0,0,C46)</f>
        <v>0</v>
      </c>
      <c r="D12" s="82">
        <f t="shared" ref="D12:V12" si="0">IF(D47=0,0,D46)</f>
        <v>0</v>
      </c>
      <c r="E12" s="82">
        <f t="shared" si="0"/>
        <v>0</v>
      </c>
      <c r="F12" s="82">
        <f t="shared" si="0"/>
        <v>0</v>
      </c>
      <c r="G12" s="82">
        <f t="shared" si="0"/>
        <v>0</v>
      </c>
      <c r="H12" s="82">
        <f t="shared" si="0"/>
        <v>0</v>
      </c>
      <c r="I12" s="82">
        <f t="shared" si="0"/>
        <v>0</v>
      </c>
      <c r="J12" s="82">
        <f t="shared" si="0"/>
        <v>0</v>
      </c>
      <c r="K12" s="82">
        <f t="shared" si="0"/>
        <v>0</v>
      </c>
      <c r="L12" s="82">
        <f t="shared" si="0"/>
        <v>0</v>
      </c>
      <c r="M12" s="82">
        <f t="shared" si="0"/>
        <v>0</v>
      </c>
      <c r="N12" s="82">
        <f t="shared" si="0"/>
        <v>0</v>
      </c>
      <c r="O12" s="82">
        <f t="shared" si="0"/>
        <v>0</v>
      </c>
      <c r="P12" s="82">
        <f t="shared" si="0"/>
        <v>0</v>
      </c>
      <c r="Q12" s="82">
        <f t="shared" si="0"/>
        <v>0</v>
      </c>
      <c r="R12" s="82">
        <f t="shared" si="0"/>
        <v>0</v>
      </c>
      <c r="S12" s="82">
        <f t="shared" si="0"/>
        <v>0</v>
      </c>
      <c r="T12" s="82">
        <f t="shared" si="0"/>
        <v>0</v>
      </c>
      <c r="U12" s="82">
        <f t="shared" si="0"/>
        <v>0</v>
      </c>
      <c r="V12" s="82">
        <f t="shared" si="0"/>
        <v>0</v>
      </c>
      <c r="AD12" s="77"/>
      <c r="AE12" s="83"/>
    </row>
    <row r="13" spans="1:39" x14ac:dyDescent="0.3">
      <c r="A13" s="123" t="s">
        <v>74</v>
      </c>
      <c r="B13" s="124"/>
      <c r="C13" s="82">
        <f>IF(C44=0,0,C43)</f>
        <v>0</v>
      </c>
      <c r="D13" s="82">
        <f t="shared" ref="D13:V13" si="1">IF(D44=0,0,D43)</f>
        <v>0</v>
      </c>
      <c r="E13" s="82">
        <f t="shared" si="1"/>
        <v>0</v>
      </c>
      <c r="F13" s="82">
        <f t="shared" si="1"/>
        <v>0</v>
      </c>
      <c r="G13" s="82">
        <f t="shared" si="1"/>
        <v>0</v>
      </c>
      <c r="H13" s="82">
        <f t="shared" si="1"/>
        <v>0</v>
      </c>
      <c r="I13" s="82">
        <f t="shared" si="1"/>
        <v>0</v>
      </c>
      <c r="J13" s="82">
        <f t="shared" si="1"/>
        <v>0</v>
      </c>
      <c r="K13" s="82">
        <f t="shared" si="1"/>
        <v>0</v>
      </c>
      <c r="L13" s="82">
        <f t="shared" si="1"/>
        <v>0</v>
      </c>
      <c r="M13" s="82">
        <f t="shared" si="1"/>
        <v>0</v>
      </c>
      <c r="N13" s="82">
        <f t="shared" si="1"/>
        <v>0</v>
      </c>
      <c r="O13" s="82">
        <f t="shared" si="1"/>
        <v>0</v>
      </c>
      <c r="P13" s="82">
        <f t="shared" si="1"/>
        <v>0</v>
      </c>
      <c r="Q13" s="82">
        <f t="shared" si="1"/>
        <v>0</v>
      </c>
      <c r="R13" s="82">
        <f t="shared" si="1"/>
        <v>0</v>
      </c>
      <c r="S13" s="82">
        <f t="shared" si="1"/>
        <v>0</v>
      </c>
      <c r="T13" s="82">
        <f t="shared" si="1"/>
        <v>0</v>
      </c>
      <c r="U13" s="82">
        <f t="shared" si="1"/>
        <v>0</v>
      </c>
      <c r="V13" s="82">
        <f t="shared" si="1"/>
        <v>0</v>
      </c>
      <c r="AD13" s="77"/>
      <c r="AE13" s="83"/>
    </row>
    <row r="14" spans="1:39" x14ac:dyDescent="0.3">
      <c r="A14" s="123" t="s">
        <v>194</v>
      </c>
      <c r="B14" s="124"/>
      <c r="C14" s="82">
        <f>'Front Specification'!C10*'Insert and Handle Options'!$C186</f>
        <v>0</v>
      </c>
      <c r="D14" s="82">
        <f>'Front Specification'!D10*'Insert and Handle Options'!$C186</f>
        <v>0</v>
      </c>
      <c r="E14" s="82">
        <f>'Front Specification'!E10*'Insert and Handle Options'!$C186</f>
        <v>0</v>
      </c>
      <c r="F14" s="82">
        <f>'Front Specification'!F10*'Insert and Handle Options'!$C186</f>
        <v>0</v>
      </c>
      <c r="G14" s="82">
        <f>'Front Specification'!G10*'Insert and Handle Options'!$C186</f>
        <v>0</v>
      </c>
      <c r="H14" s="82">
        <f>'Front Specification'!H10*'Insert and Handle Options'!$C186</f>
        <v>0</v>
      </c>
      <c r="I14" s="82">
        <f>'Front Specification'!I10*'Insert and Handle Options'!$C186</f>
        <v>0</v>
      </c>
      <c r="J14" s="82">
        <f>'Front Specification'!J10*'Insert and Handle Options'!$C186</f>
        <v>0</v>
      </c>
      <c r="K14" s="82">
        <f>'Front Specification'!K10*'Insert and Handle Options'!$C186</f>
        <v>0</v>
      </c>
      <c r="L14" s="82">
        <f>'Front Specification'!L10*'Insert and Handle Options'!$C186</f>
        <v>0</v>
      </c>
      <c r="M14" s="82">
        <f>'Front Specification'!M10*'Insert and Handle Options'!$C186</f>
        <v>0</v>
      </c>
      <c r="N14" s="82">
        <f>'Front Specification'!N10*'Insert and Handle Options'!$C186</f>
        <v>0</v>
      </c>
      <c r="O14" s="82">
        <f>'Front Specification'!O10*'Insert and Handle Options'!$C186</f>
        <v>0</v>
      </c>
      <c r="P14" s="82">
        <f>'Front Specification'!P10*'Insert and Handle Options'!$C186</f>
        <v>0</v>
      </c>
      <c r="Q14" s="82">
        <f>'Front Specification'!Q10*'Insert and Handle Options'!$C186</f>
        <v>0</v>
      </c>
      <c r="R14" s="82">
        <f>'Front Specification'!R10*'Insert and Handle Options'!$C186</f>
        <v>0</v>
      </c>
      <c r="S14" s="82">
        <f>'Front Specification'!S10*'Insert and Handle Options'!$C186</f>
        <v>0</v>
      </c>
      <c r="T14" s="82">
        <f>'Front Specification'!T10*'Insert and Handle Options'!$C186</f>
        <v>0</v>
      </c>
      <c r="U14" s="82">
        <f>'Front Specification'!U10*'Insert and Handle Options'!$C186</f>
        <v>0</v>
      </c>
      <c r="V14" s="82">
        <f>'Front Specification'!V10*'Insert and Handle Options'!$C186</f>
        <v>0</v>
      </c>
      <c r="AD14" s="77"/>
      <c r="AE14" s="83"/>
    </row>
    <row r="15" spans="1:39" x14ac:dyDescent="0.3">
      <c r="A15" s="123" t="s">
        <v>121</v>
      </c>
      <c r="B15" s="124"/>
      <c r="C15" s="82">
        <f>IF('Front Specification'!C31-2&lt;=0,0,('Front Specification'!C31-2)*'Insert and Handle Options'!$C189)</f>
        <v>0</v>
      </c>
      <c r="D15" s="82">
        <f>IF('Front Specification'!D31-2&lt;=0,0,('Front Specification'!D31-2)*'Insert and Handle Options'!$C189)</f>
        <v>0</v>
      </c>
      <c r="E15" s="82">
        <f>IF('Front Specification'!E31-2&lt;=0,0,('Front Specification'!E31-2)*'Insert and Handle Options'!$C189)</f>
        <v>0</v>
      </c>
      <c r="F15" s="82">
        <f>IF('Front Specification'!F31-2&lt;=0,0,('Front Specification'!F31-2)*'Insert and Handle Options'!$C189)</f>
        <v>0</v>
      </c>
      <c r="G15" s="82">
        <f>IF('Front Specification'!G31-2&lt;=0,0,('Front Specification'!G31-2)*'Insert and Handle Options'!$C189)</f>
        <v>0</v>
      </c>
      <c r="H15" s="82">
        <f>IF('Front Specification'!H31-2&lt;=0,0,('Front Specification'!H31-2)*'Insert and Handle Options'!$C189)</f>
        <v>0</v>
      </c>
      <c r="I15" s="82">
        <f>IF('Front Specification'!I31-2&lt;=0,0,('Front Specification'!I31-2)*'Insert and Handle Options'!$C189)</f>
        <v>0</v>
      </c>
      <c r="J15" s="82">
        <f>IF('Front Specification'!J31-2&lt;=0,0,('Front Specification'!J31-2)*'Insert and Handle Options'!$C189)</f>
        <v>0</v>
      </c>
      <c r="K15" s="82">
        <f>IF('Front Specification'!K31-2&lt;=0,0,('Front Specification'!K31-2)*'Insert and Handle Options'!$C189)</f>
        <v>0</v>
      </c>
      <c r="L15" s="82">
        <f>IF('Front Specification'!L31-2&lt;=0,0,('Front Specification'!L31-2)*'Insert and Handle Options'!$C189)</f>
        <v>0</v>
      </c>
      <c r="M15" s="82">
        <f>IF('Front Specification'!M31-2&lt;=0,0,('Front Specification'!M31-2)*'Insert and Handle Options'!$C189)</f>
        <v>0</v>
      </c>
      <c r="N15" s="82">
        <f>IF('Front Specification'!N31-2&lt;=0,0,('Front Specification'!N31-2)*'Insert and Handle Options'!$C189)</f>
        <v>0</v>
      </c>
      <c r="O15" s="82">
        <f>IF('Front Specification'!O31-2&lt;=0,0,('Front Specification'!O31-2)*'Insert and Handle Options'!$C189)</f>
        <v>0</v>
      </c>
      <c r="P15" s="82">
        <f>IF('Front Specification'!P31-2&lt;=0,0,('Front Specification'!P31-2)*'Insert and Handle Options'!$C189)</f>
        <v>0</v>
      </c>
      <c r="Q15" s="82">
        <f>IF('Front Specification'!Q31-2&lt;=0,0,('Front Specification'!Q31-2)*'Insert and Handle Options'!$C189)</f>
        <v>0</v>
      </c>
      <c r="R15" s="82">
        <f>IF('Front Specification'!R31-2&lt;=0,0,('Front Specification'!R31-2)*'Insert and Handle Options'!$C189)</f>
        <v>0</v>
      </c>
      <c r="S15" s="82">
        <f>IF('Front Specification'!S31-2&lt;=0,0,('Front Specification'!S31-2)*'Insert and Handle Options'!$C189)</f>
        <v>0</v>
      </c>
      <c r="T15" s="82">
        <f>IF('Front Specification'!T31-2&lt;=0,0,('Front Specification'!T31-2)*'Insert and Handle Options'!$C189)</f>
        <v>0</v>
      </c>
      <c r="U15" s="82">
        <f>IF('Front Specification'!U31-2&lt;=0,0,('Front Specification'!U31-2)*'Insert and Handle Options'!$C189)</f>
        <v>0</v>
      </c>
      <c r="V15" s="82">
        <f>IF('Front Specification'!V31-2&lt;=0,0,('Front Specification'!V31-2)*'Insert and Handle Options'!$C189)</f>
        <v>0</v>
      </c>
      <c r="AD15" s="77"/>
      <c r="AE15" s="83"/>
    </row>
    <row r="16" spans="1:39" x14ac:dyDescent="0.3">
      <c r="A16" s="123"/>
      <c r="B16" s="12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AD16" s="77"/>
      <c r="AE16" s="83"/>
    </row>
    <row r="17" spans="1:31" x14ac:dyDescent="0.3">
      <c r="A17" s="129" t="s">
        <v>127</v>
      </c>
      <c r="B17" s="130"/>
      <c r="C17" s="85">
        <f>SUM(C9:C16)</f>
        <v>0</v>
      </c>
      <c r="D17" s="85">
        <f t="shared" ref="D17:V17" si="2">SUM(D9:D16)</f>
        <v>0</v>
      </c>
      <c r="E17" s="85">
        <f t="shared" si="2"/>
        <v>0</v>
      </c>
      <c r="F17" s="85">
        <f t="shared" si="2"/>
        <v>0</v>
      </c>
      <c r="G17" s="85">
        <f t="shared" si="2"/>
        <v>0</v>
      </c>
      <c r="H17" s="85">
        <f t="shared" si="2"/>
        <v>0</v>
      </c>
      <c r="I17" s="85">
        <f t="shared" si="2"/>
        <v>0</v>
      </c>
      <c r="J17" s="85">
        <f t="shared" si="2"/>
        <v>0</v>
      </c>
      <c r="K17" s="85">
        <f t="shared" si="2"/>
        <v>0</v>
      </c>
      <c r="L17" s="85">
        <f t="shared" si="2"/>
        <v>0</v>
      </c>
      <c r="M17" s="85">
        <f t="shared" si="2"/>
        <v>0</v>
      </c>
      <c r="N17" s="85">
        <f t="shared" si="2"/>
        <v>0</v>
      </c>
      <c r="O17" s="85">
        <f t="shared" si="2"/>
        <v>0</v>
      </c>
      <c r="P17" s="85">
        <f t="shared" si="2"/>
        <v>0</v>
      </c>
      <c r="Q17" s="85">
        <f t="shared" si="2"/>
        <v>0</v>
      </c>
      <c r="R17" s="85">
        <f t="shared" si="2"/>
        <v>0</v>
      </c>
      <c r="S17" s="85">
        <f t="shared" si="2"/>
        <v>0</v>
      </c>
      <c r="T17" s="85">
        <f t="shared" si="2"/>
        <v>0</v>
      </c>
      <c r="U17" s="85">
        <f t="shared" si="2"/>
        <v>0</v>
      </c>
      <c r="V17" s="85">
        <f t="shared" si="2"/>
        <v>0</v>
      </c>
      <c r="AD17" s="77"/>
      <c r="AE17" s="83"/>
    </row>
    <row r="18" spans="1:31" x14ac:dyDescent="0.3">
      <c r="A18" s="123"/>
      <c r="B18" s="124"/>
      <c r="C18" s="86"/>
      <c r="D18" s="86"/>
      <c r="E18" s="86"/>
      <c r="F18" s="86"/>
      <c r="G18" s="86"/>
      <c r="H18" s="86"/>
      <c r="I18" s="86"/>
      <c r="J18" s="86"/>
      <c r="K18" s="86"/>
      <c r="L18" s="86"/>
      <c r="M18" s="86"/>
      <c r="N18" s="86"/>
      <c r="O18" s="86"/>
      <c r="P18" s="86"/>
      <c r="Q18" s="86"/>
      <c r="R18" s="86"/>
      <c r="S18" s="86"/>
      <c r="T18" s="86"/>
      <c r="U18" s="86"/>
      <c r="V18" s="86"/>
      <c r="AD18" s="77"/>
      <c r="AE18" s="83"/>
    </row>
    <row r="19" spans="1:31" x14ac:dyDescent="0.3">
      <c r="A19" s="129" t="s">
        <v>123</v>
      </c>
      <c r="B19" s="130"/>
      <c r="C19" s="80"/>
      <c r="D19" s="80"/>
      <c r="E19" s="80"/>
      <c r="F19" s="80"/>
      <c r="G19" s="80"/>
      <c r="H19" s="80"/>
      <c r="I19" s="80"/>
      <c r="J19" s="80"/>
      <c r="K19" s="80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AD19" s="77"/>
      <c r="AE19" s="83"/>
    </row>
    <row r="20" spans="1:31" x14ac:dyDescent="0.3">
      <c r="A20" s="123" t="s">
        <v>197</v>
      </c>
      <c r="B20" s="124"/>
      <c r="C20" s="87">
        <f>'Handle Specification'!C9*'Insert and Handle Options'!$C$192</f>
        <v>0</v>
      </c>
      <c r="D20" s="87">
        <f>'Handle Specification'!D9*'Insert and Handle Options'!$C$192</f>
        <v>0</v>
      </c>
      <c r="E20" s="87">
        <f>'Handle Specification'!E9*'Insert and Handle Options'!$C$192</f>
        <v>0</v>
      </c>
      <c r="F20" s="87">
        <f>'Handle Specification'!F9*'Insert and Handle Options'!$C$192</f>
        <v>0</v>
      </c>
      <c r="G20" s="87">
        <f>'Handle Specification'!G9*'Insert and Handle Options'!$C$192</f>
        <v>0</v>
      </c>
      <c r="H20" s="87">
        <f>'Handle Specification'!H9*'Insert and Handle Options'!$C$192</f>
        <v>0</v>
      </c>
      <c r="I20" s="87">
        <f>'Handle Specification'!I9*'Insert and Handle Options'!$C$192</f>
        <v>0</v>
      </c>
      <c r="J20" s="87">
        <f>'Handle Specification'!J9*'Insert and Handle Options'!$C$192</f>
        <v>0</v>
      </c>
      <c r="K20" s="87">
        <f>'Handle Specification'!K9*'Insert and Handle Options'!$C$192</f>
        <v>0</v>
      </c>
      <c r="L20" s="87">
        <f>'Handle Specification'!L9*'Insert and Handle Options'!$C$192</f>
        <v>0</v>
      </c>
      <c r="M20" s="87">
        <f>'Handle Specification'!M9*'Insert and Handle Options'!$C$192</f>
        <v>0</v>
      </c>
      <c r="N20" s="87">
        <f>'Handle Specification'!N9*'Insert and Handle Options'!$C$192</f>
        <v>0</v>
      </c>
      <c r="O20" s="87">
        <f>'Handle Specification'!O9*'Insert and Handle Options'!$C$192</f>
        <v>0</v>
      </c>
      <c r="P20" s="87">
        <f>'Handle Specification'!P9*'Insert and Handle Options'!$C$192</f>
        <v>0</v>
      </c>
      <c r="Q20" s="87">
        <f>'Handle Specification'!Q9*'Insert and Handle Options'!$C$192</f>
        <v>0</v>
      </c>
      <c r="R20" s="87">
        <f>'Handle Specification'!R9*'Insert and Handle Options'!$C$192</f>
        <v>0</v>
      </c>
      <c r="S20" s="87">
        <f>'Handle Specification'!S9*'Insert and Handle Options'!$C$192</f>
        <v>0</v>
      </c>
      <c r="T20" s="87">
        <f>'Handle Specification'!T9*'Insert and Handle Options'!$C$192</f>
        <v>0</v>
      </c>
      <c r="U20" s="87">
        <f>'Handle Specification'!U9*'Insert and Handle Options'!$C$192</f>
        <v>0</v>
      </c>
      <c r="V20" s="87">
        <f>'Handle Specification'!V9*'Insert and Handle Options'!$C$192</f>
        <v>0</v>
      </c>
      <c r="AD20" s="77"/>
      <c r="AE20" s="83"/>
    </row>
    <row r="21" spans="1:31" x14ac:dyDescent="0.3">
      <c r="A21" s="123" t="s">
        <v>124</v>
      </c>
      <c r="B21" s="124"/>
      <c r="C21" s="82">
        <f>('Front Specification'!C6/1000)*(Costing!C48)</f>
        <v>0</v>
      </c>
      <c r="D21" s="82">
        <f>('Front Specification'!D6/1000)*(Costing!D48)</f>
        <v>0</v>
      </c>
      <c r="E21" s="82">
        <f>('Front Specification'!E6/1000)*(Costing!E48)</f>
        <v>0</v>
      </c>
      <c r="F21" s="82">
        <f>('Front Specification'!F6/1000)*(Costing!F48)</f>
        <v>0</v>
      </c>
      <c r="G21" s="82">
        <f>('Front Specification'!G6/1000)*(Costing!G48)</f>
        <v>0</v>
      </c>
      <c r="H21" s="82">
        <f>('Front Specification'!H6/1000)*(Costing!H48)</f>
        <v>0</v>
      </c>
      <c r="I21" s="82">
        <f>('Front Specification'!I6/1000)*(Costing!I48)</f>
        <v>0</v>
      </c>
      <c r="J21" s="82">
        <f>('Front Specification'!J6/1000)*(Costing!J48)</f>
        <v>0</v>
      </c>
      <c r="K21" s="82">
        <f>('Front Specification'!K6/1000)*(Costing!K48)</f>
        <v>0</v>
      </c>
      <c r="L21" s="82">
        <f>('Front Specification'!L6/1000)*(Costing!L48)</f>
        <v>0</v>
      </c>
      <c r="M21" s="82">
        <f>('Front Specification'!M6/1000)*(Costing!M48)</f>
        <v>0</v>
      </c>
      <c r="N21" s="82">
        <f>('Front Specification'!N6/1000)*(Costing!N48)</f>
        <v>0</v>
      </c>
      <c r="O21" s="82">
        <f>('Front Specification'!O6/1000)*(Costing!O48)</f>
        <v>0</v>
      </c>
      <c r="P21" s="82">
        <f>('Front Specification'!P6/1000)*(Costing!P48)</f>
        <v>0</v>
      </c>
      <c r="Q21" s="82">
        <f>('Front Specification'!Q6/1000)*(Costing!Q48)</f>
        <v>0</v>
      </c>
      <c r="R21" s="82">
        <f>('Front Specification'!R6/1000)*(Costing!R48)</f>
        <v>0</v>
      </c>
      <c r="S21" s="82">
        <f>('Front Specification'!S6/1000)*(Costing!S48)</f>
        <v>0</v>
      </c>
      <c r="T21" s="82">
        <f>('Front Specification'!T6/1000)*(Costing!T48)</f>
        <v>0</v>
      </c>
      <c r="U21" s="82">
        <f>('Front Specification'!U6/1000)*(Costing!U48)</f>
        <v>0</v>
      </c>
      <c r="V21" s="82">
        <f>('Front Specification'!V6/1000)*(Costing!V48)</f>
        <v>0</v>
      </c>
      <c r="AD21" s="77"/>
      <c r="AE21" s="83"/>
    </row>
    <row r="22" spans="1:31" x14ac:dyDescent="0.3">
      <c r="A22" s="123" t="s">
        <v>125</v>
      </c>
      <c r="B22" s="124"/>
      <c r="C22" s="82">
        <f>IF('Handle Specification'!C27="Yes",'Insert and Handle Options'!$C$195,0)</f>
        <v>0</v>
      </c>
      <c r="D22" s="82">
        <f>IF('Handle Specification'!D27="Yes",'Insert and Handle Options'!$C$195,0)</f>
        <v>0</v>
      </c>
      <c r="E22" s="82">
        <f>IF('Handle Specification'!E27="Yes",'Insert and Handle Options'!$C$195,0)</f>
        <v>0</v>
      </c>
      <c r="F22" s="82">
        <f>IF('Handle Specification'!F27="Yes",'Insert and Handle Options'!$C$195,0)</f>
        <v>0</v>
      </c>
      <c r="G22" s="82">
        <f>IF('Handle Specification'!G27="Yes",'Insert and Handle Options'!$C$195,0)</f>
        <v>0</v>
      </c>
      <c r="H22" s="82">
        <f>IF('Handle Specification'!H27="Yes",'Insert and Handle Options'!$C$195,0)</f>
        <v>0</v>
      </c>
      <c r="I22" s="82">
        <f>IF('Handle Specification'!I27="Yes",'Insert and Handle Options'!$C$195,0)</f>
        <v>0</v>
      </c>
      <c r="J22" s="82">
        <f>IF('Handle Specification'!J27="Yes",'Insert and Handle Options'!$C$195,0)</f>
        <v>0</v>
      </c>
      <c r="K22" s="82">
        <f>IF('Handle Specification'!K27="Yes",'Insert and Handle Options'!$C$195,0)</f>
        <v>0</v>
      </c>
      <c r="L22" s="82">
        <f>IF('Handle Specification'!L27="Yes",'Insert and Handle Options'!$C$195,0)</f>
        <v>0</v>
      </c>
      <c r="M22" s="82">
        <f>IF('Handle Specification'!M27="Yes",'Insert and Handle Options'!$C$195,0)</f>
        <v>0</v>
      </c>
      <c r="N22" s="82">
        <f>IF('Handle Specification'!N27="Yes",'Insert and Handle Options'!$C$195,0)</f>
        <v>0</v>
      </c>
      <c r="O22" s="82">
        <f>IF('Handle Specification'!O27="Yes",'Insert and Handle Options'!$C$195,0)</f>
        <v>0</v>
      </c>
      <c r="P22" s="82">
        <f>IF('Handle Specification'!P27="Yes",'Insert and Handle Options'!$C$195,0)</f>
        <v>0</v>
      </c>
      <c r="Q22" s="82">
        <f>IF('Handle Specification'!Q27="Yes",'Insert and Handle Options'!$C$195,0)</f>
        <v>0</v>
      </c>
      <c r="R22" s="82">
        <f>IF('Handle Specification'!R27="Yes",'Insert and Handle Options'!$C$195,0)</f>
        <v>0</v>
      </c>
      <c r="S22" s="82">
        <f>IF('Handle Specification'!S27="Yes",'Insert and Handle Options'!$C$195,0)</f>
        <v>0</v>
      </c>
      <c r="T22" s="82">
        <f>IF('Handle Specification'!T27="Yes",'Insert and Handle Options'!$C$195,0)</f>
        <v>0</v>
      </c>
      <c r="U22" s="82">
        <f>IF('Handle Specification'!U27="Yes",'Insert and Handle Options'!$C$195,0)</f>
        <v>0</v>
      </c>
      <c r="V22" s="82">
        <f>IF('Handle Specification'!V27="Yes",'Insert and Handle Options'!$C$195,0)</f>
        <v>0</v>
      </c>
      <c r="AD22" s="77"/>
      <c r="AE22" s="83"/>
    </row>
    <row r="23" spans="1:31" x14ac:dyDescent="0.3">
      <c r="A23" s="123" t="s">
        <v>126</v>
      </c>
      <c r="B23" s="124"/>
      <c r="C23" s="82">
        <f>IF('Handle Specification'!C32="Yes",(Costing!C48*'Handle Specification'!C34/1000),0)</f>
        <v>0</v>
      </c>
      <c r="D23" s="82">
        <f>IF('Handle Specification'!D32="Yes",(Costing!D48*'Handle Specification'!D34/1000),0)</f>
        <v>0</v>
      </c>
      <c r="E23" s="82">
        <f>IF('Handle Specification'!E32="Yes",(Costing!E48*'Handle Specification'!E34/1000),0)</f>
        <v>0</v>
      </c>
      <c r="F23" s="82">
        <f>IF('Handle Specification'!F32="Yes",(Costing!F48*'Handle Specification'!F34/1000),0)</f>
        <v>0</v>
      </c>
      <c r="G23" s="82">
        <f>IF('Handle Specification'!G32="Yes",(Costing!G48*'Handle Specification'!G34/1000),0)</f>
        <v>0</v>
      </c>
      <c r="H23" s="82">
        <f>IF('Handle Specification'!H32="Yes",(Costing!H48*'Handle Specification'!H34/1000),0)</f>
        <v>0</v>
      </c>
      <c r="I23" s="82">
        <f>IF('Handle Specification'!I32="Yes",(Costing!I48*'Handle Specification'!I34/1000),0)</f>
        <v>0</v>
      </c>
      <c r="J23" s="82">
        <f>IF('Handle Specification'!J32="Yes",(Costing!J48*'Handle Specification'!J34/1000),0)</f>
        <v>0</v>
      </c>
      <c r="K23" s="82">
        <f>IF('Handle Specification'!K32="Yes",(Costing!K48*'Handle Specification'!K34/1000),0)</f>
        <v>0</v>
      </c>
      <c r="L23" s="82">
        <f>IF('Handle Specification'!L32="Yes",(Costing!L48*'Handle Specification'!L34/1000),0)</f>
        <v>0</v>
      </c>
      <c r="M23" s="82">
        <f>IF('Handle Specification'!M32="Yes",(Costing!M48*'Handle Specification'!M34/1000),0)</f>
        <v>0</v>
      </c>
      <c r="N23" s="82">
        <f>IF('Handle Specification'!N32="Yes",(Costing!N48*'Handle Specification'!N34/1000),0)</f>
        <v>0</v>
      </c>
      <c r="O23" s="82">
        <f>IF('Handle Specification'!O32="Yes",(Costing!O48*'Handle Specification'!O34/1000),0)</f>
        <v>0</v>
      </c>
      <c r="P23" s="82">
        <f>IF('Handle Specification'!P32="Yes",(Costing!P48*'Handle Specification'!P34/1000),0)</f>
        <v>0</v>
      </c>
      <c r="Q23" s="82">
        <f>IF('Handle Specification'!Q32="Yes",(Costing!Q48*'Handle Specification'!Q34/1000),0)</f>
        <v>0</v>
      </c>
      <c r="R23" s="82">
        <f>IF('Handle Specification'!R32="Yes",(Costing!R48*'Handle Specification'!R34/1000),0)</f>
        <v>0</v>
      </c>
      <c r="S23" s="82">
        <f>IF('Handle Specification'!S32="Yes",(Costing!S48*'Handle Specification'!S34/1000),0)</f>
        <v>0</v>
      </c>
      <c r="T23" s="82">
        <f>IF('Handle Specification'!T32="Yes",(Costing!T48*'Handle Specification'!T34/1000),0)</f>
        <v>0</v>
      </c>
      <c r="U23" s="82">
        <f>IF('Handle Specification'!U32="Yes",(Costing!U48*'Handle Specification'!U34/1000),0)</f>
        <v>0</v>
      </c>
      <c r="V23" s="82">
        <f>IF('Handle Specification'!V32="Yes",(Costing!V48*'Handle Specification'!V34/1000),0)</f>
        <v>0</v>
      </c>
    </row>
    <row r="24" spans="1:31" x14ac:dyDescent="0.3">
      <c r="A24" s="123"/>
      <c r="B24" s="124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</row>
    <row r="25" spans="1:31" x14ac:dyDescent="0.3">
      <c r="A25" s="129" t="s">
        <v>128</v>
      </c>
      <c r="B25" s="130"/>
      <c r="C25" s="90">
        <f>SUM(C20:C24)</f>
        <v>0</v>
      </c>
      <c r="D25" s="90">
        <f t="shared" ref="D25:V25" si="3">SUM(D20:D24)</f>
        <v>0</v>
      </c>
      <c r="E25" s="90">
        <f t="shared" si="3"/>
        <v>0</v>
      </c>
      <c r="F25" s="90">
        <f t="shared" si="3"/>
        <v>0</v>
      </c>
      <c r="G25" s="90">
        <f t="shared" si="3"/>
        <v>0</v>
      </c>
      <c r="H25" s="90">
        <f t="shared" si="3"/>
        <v>0</v>
      </c>
      <c r="I25" s="90">
        <f t="shared" si="3"/>
        <v>0</v>
      </c>
      <c r="J25" s="90">
        <f t="shared" si="3"/>
        <v>0</v>
      </c>
      <c r="K25" s="90">
        <f t="shared" si="3"/>
        <v>0</v>
      </c>
      <c r="L25" s="90">
        <f t="shared" si="3"/>
        <v>0</v>
      </c>
      <c r="M25" s="90">
        <f t="shared" si="3"/>
        <v>0</v>
      </c>
      <c r="N25" s="90">
        <f t="shared" si="3"/>
        <v>0</v>
      </c>
      <c r="O25" s="90">
        <f t="shared" si="3"/>
        <v>0</v>
      </c>
      <c r="P25" s="90">
        <f t="shared" si="3"/>
        <v>0</v>
      </c>
      <c r="Q25" s="90">
        <f t="shared" si="3"/>
        <v>0</v>
      </c>
      <c r="R25" s="90">
        <f t="shared" si="3"/>
        <v>0</v>
      </c>
      <c r="S25" s="90">
        <f t="shared" si="3"/>
        <v>0</v>
      </c>
      <c r="T25" s="90">
        <f t="shared" si="3"/>
        <v>0</v>
      </c>
      <c r="U25" s="90">
        <f t="shared" si="3"/>
        <v>0</v>
      </c>
      <c r="V25" s="90">
        <f t="shared" si="3"/>
        <v>0</v>
      </c>
    </row>
    <row r="26" spans="1:31" x14ac:dyDescent="0.3">
      <c r="A26" s="123"/>
      <c r="B26" s="124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</row>
    <row r="27" spans="1:31" x14ac:dyDescent="0.3">
      <c r="A27" s="127" t="s">
        <v>129</v>
      </c>
      <c r="B27" s="128"/>
      <c r="C27" s="92">
        <f>C17+C25</f>
        <v>0</v>
      </c>
      <c r="D27" s="85">
        <f t="shared" ref="D27:V27" si="4">D17+D25</f>
        <v>0</v>
      </c>
      <c r="E27" s="85">
        <f t="shared" si="4"/>
        <v>0</v>
      </c>
      <c r="F27" s="85">
        <f t="shared" si="4"/>
        <v>0</v>
      </c>
      <c r="G27" s="85">
        <f t="shared" si="4"/>
        <v>0</v>
      </c>
      <c r="H27" s="85">
        <f t="shared" si="4"/>
        <v>0</v>
      </c>
      <c r="I27" s="85">
        <f t="shared" si="4"/>
        <v>0</v>
      </c>
      <c r="J27" s="85">
        <f t="shared" si="4"/>
        <v>0</v>
      </c>
      <c r="K27" s="85">
        <f t="shared" si="4"/>
        <v>0</v>
      </c>
      <c r="L27" s="85">
        <f t="shared" si="4"/>
        <v>0</v>
      </c>
      <c r="M27" s="85">
        <f t="shared" si="4"/>
        <v>0</v>
      </c>
      <c r="N27" s="85">
        <f t="shared" si="4"/>
        <v>0</v>
      </c>
      <c r="O27" s="85">
        <f t="shared" si="4"/>
        <v>0</v>
      </c>
      <c r="P27" s="85">
        <f t="shared" si="4"/>
        <v>0</v>
      </c>
      <c r="Q27" s="85">
        <f t="shared" si="4"/>
        <v>0</v>
      </c>
      <c r="R27" s="85">
        <f t="shared" si="4"/>
        <v>0</v>
      </c>
      <c r="S27" s="85">
        <f t="shared" si="4"/>
        <v>0</v>
      </c>
      <c r="T27" s="85">
        <f t="shared" si="4"/>
        <v>0</v>
      </c>
      <c r="U27" s="85">
        <f t="shared" si="4"/>
        <v>0</v>
      </c>
      <c r="V27" s="85">
        <f t="shared" si="4"/>
        <v>0</v>
      </c>
    </row>
    <row r="28" spans="1:31" ht="15" thickBot="1" x14ac:dyDescent="0.35">
      <c r="A28" s="104"/>
      <c r="B28" s="58"/>
      <c r="C28" s="93"/>
      <c r="D28" s="94"/>
      <c r="E28" s="94"/>
      <c r="F28" s="94"/>
      <c r="G28" s="94"/>
      <c r="H28" s="94"/>
      <c r="I28" s="94"/>
      <c r="J28" s="94"/>
      <c r="K28" s="94"/>
      <c r="L28" s="95"/>
      <c r="M28" s="94"/>
      <c r="N28" s="94"/>
      <c r="O28" s="94"/>
      <c r="P28" s="94"/>
      <c r="Q28" s="94"/>
      <c r="R28" s="94"/>
      <c r="S28" s="94"/>
      <c r="T28" s="94"/>
      <c r="U28" s="94"/>
      <c r="V28" s="95"/>
    </row>
    <row r="29" spans="1:31" ht="19.2" thickTop="1" thickBot="1" x14ac:dyDescent="0.4">
      <c r="A29" s="125" t="s">
        <v>130</v>
      </c>
      <c r="B29" s="126"/>
      <c r="C29" s="96">
        <f>SUM(C27:V27)</f>
        <v>0</v>
      </c>
      <c r="D29" s="25"/>
      <c r="E29" s="25"/>
      <c r="F29" s="25"/>
      <c r="G29" s="25"/>
      <c r="H29" s="25"/>
      <c r="I29" s="25"/>
      <c r="J29" s="25"/>
      <c r="K29" s="25"/>
      <c r="L29" s="68"/>
      <c r="M29" s="25"/>
      <c r="N29" s="25"/>
      <c r="O29" s="25"/>
      <c r="P29" s="25"/>
      <c r="Q29" s="25"/>
      <c r="R29" s="25"/>
      <c r="S29" s="25"/>
      <c r="T29" s="25"/>
      <c r="U29" s="25"/>
      <c r="V29" s="68"/>
    </row>
    <row r="30" spans="1:31" ht="15" thickTop="1" x14ac:dyDescent="0.3">
      <c r="A30" s="65"/>
      <c r="B30" s="97"/>
      <c r="C30" s="98"/>
      <c r="D30" s="99"/>
      <c r="E30" s="99"/>
      <c r="F30" s="99"/>
      <c r="G30" s="99"/>
      <c r="H30" s="99"/>
      <c r="I30" s="99"/>
      <c r="J30" s="99"/>
      <c r="K30" s="99"/>
      <c r="L30" s="100"/>
      <c r="M30" s="99"/>
      <c r="N30" s="99"/>
      <c r="O30" s="99"/>
      <c r="P30" s="99"/>
      <c r="Q30" s="99"/>
      <c r="R30" s="99"/>
      <c r="S30" s="99"/>
      <c r="T30" s="99"/>
      <c r="U30" s="99"/>
      <c r="V30" s="100"/>
    </row>
    <row r="31" spans="1:31" x14ac:dyDescent="0.3">
      <c r="A31" s="57"/>
      <c r="B31" s="58"/>
      <c r="C31" s="93"/>
    </row>
    <row r="32" spans="1:31" hidden="1" x14ac:dyDescent="0.3">
      <c r="B32" s="1" t="s">
        <v>153</v>
      </c>
      <c r="C32" s="88">
        <f>IF('Front Specification'!C$13="A1 Silver (R1)",'Frame Options'!$D6,IF('Front Specification'!C$13="A8 Inox (R1)",'Frame Options'!$E6,IF('Front Specification'!C$13="A10 Matt Black (R1)",'Frame Options'!$F6,IF('Front Specification'!C$13="P10 Gloss Black (R1)",'Frame Options'!$G6,IF('Front Specification'!C$13="P11 Gloss White (R1)",'Frame Options'!$G6,0)))))</f>
        <v>0</v>
      </c>
      <c r="D32" s="88">
        <f>IF('Front Specification'!D$13="A1 Silver (R1)",'Frame Options'!$D6,IF('Front Specification'!D$13="A8 Inox (R1)",'Frame Options'!$E6,IF('Front Specification'!D$13="A10 Matt Black (R1)",'Frame Options'!$F6,IF('Front Specification'!D$13="P10 Gloss Black (R1)",'Frame Options'!$G6,IF('Front Specification'!D$13="P11 Gloss White (R1)",'Frame Options'!$G6,0)))))</f>
        <v>0</v>
      </c>
      <c r="E32" s="88">
        <f>IF('Front Specification'!E$13="A1 Silver (R1)",'Frame Options'!$D6,IF('Front Specification'!E$13="A8 Inox (R1)",'Frame Options'!$E6,IF('Front Specification'!E$13="A10 Matt Black (R1)",'Frame Options'!$F6,IF('Front Specification'!E$13="P10 Gloss Black (R1)",'Frame Options'!$G6,IF('Front Specification'!E$13="P11 Gloss White (R1)",'Frame Options'!$G6,0)))))</f>
        <v>0</v>
      </c>
      <c r="F32" s="88">
        <f>IF('Front Specification'!F$13="A1 Silver (R1)",'Frame Options'!$D6,IF('Front Specification'!F$13="A8 Inox (R1)",'Frame Options'!$E6,IF('Front Specification'!F$13="A10 Matt Black (R1)",'Frame Options'!$F6,IF('Front Specification'!F$13="P10 Gloss Black (R1)",'Frame Options'!$G6,IF('Front Specification'!F$13="P11 Gloss White (R1)",'Frame Options'!$G6,0)))))</f>
        <v>0</v>
      </c>
      <c r="G32" s="88">
        <f>IF('Front Specification'!G$13="A1 Silver (R1)",'Frame Options'!$D6,IF('Front Specification'!G$13="A8 Inox (R1)",'Frame Options'!$E6,IF('Front Specification'!G$13="A10 Matt Black (R1)",'Frame Options'!$F6,IF('Front Specification'!G$13="P10 Gloss Black (R1)",'Frame Options'!$G6,IF('Front Specification'!G$13="P11 Gloss White (R1)",'Frame Options'!$G6,0)))))</f>
        <v>0</v>
      </c>
      <c r="H32" s="88">
        <f>IF('Front Specification'!H$13="A1 Silver (R1)",'Frame Options'!$D6,IF('Front Specification'!H$13="A8 Inox (R1)",'Frame Options'!$E6,IF('Front Specification'!H$13="A10 Matt Black (R1)",'Frame Options'!$F6,IF('Front Specification'!H$13="P10 Gloss Black (R1)",'Frame Options'!$G6,IF('Front Specification'!H$13="P11 Gloss White (R1)",'Frame Options'!$G6,0)))))</f>
        <v>0</v>
      </c>
      <c r="I32" s="88">
        <f>IF('Front Specification'!I$13="A1 Silver (R1)",'Frame Options'!$D6,IF('Front Specification'!I$13="A8 Inox (R1)",'Frame Options'!$E6,IF('Front Specification'!I$13="A10 Matt Black (R1)",'Frame Options'!$F6,IF('Front Specification'!I$13="P10 Gloss Black (R1)",'Frame Options'!$G6,IF('Front Specification'!I$13="P11 Gloss White (R1)",'Frame Options'!$G6,0)))))</f>
        <v>0</v>
      </c>
      <c r="J32" s="88">
        <f>IF('Front Specification'!J$13="A1 Silver (R1)",'Frame Options'!$D6,IF('Front Specification'!J$13="A8 Inox (R1)",'Frame Options'!$E6,IF('Front Specification'!J$13="A10 Matt Black (R1)",'Frame Options'!$F6,IF('Front Specification'!J$13="P10 Gloss Black (R1)",'Frame Options'!$G6,IF('Front Specification'!J$13="P11 Gloss White (R1)",'Frame Options'!$G6,0)))))</f>
        <v>0</v>
      </c>
      <c r="K32" s="88">
        <f>IF('Front Specification'!K$13="A1 Silver (R1)",'Frame Options'!$D6,IF('Front Specification'!K$13="A8 Inox (R1)",'Frame Options'!$E6,IF('Front Specification'!K$13="A10 Matt Black (R1)",'Frame Options'!$F6,IF('Front Specification'!K$13="P10 Gloss Black (R1)",'Frame Options'!$G6,IF('Front Specification'!K$13="P11 Gloss White (R1)",'Frame Options'!$G6,0)))))</f>
        <v>0</v>
      </c>
      <c r="L32" s="88">
        <f>IF('Front Specification'!L$13="A1 Silver (R1)",'Frame Options'!$D6,IF('Front Specification'!L$13="A8 Inox (R1)",'Frame Options'!$E6,IF('Front Specification'!L$13="A10 Matt Black (R1)",'Frame Options'!$F6,IF('Front Specification'!L$13="P10 Gloss Black (R1)",'Frame Options'!$G6,IF('Front Specification'!L$13="P11 Gloss White (R1)",'Frame Options'!$G6,0)))))</f>
        <v>0</v>
      </c>
      <c r="M32" s="88">
        <f>IF('Front Specification'!M$13="A1 Silver (R1)",'Frame Options'!$D6,IF('Front Specification'!M$13="A8 Inox (R1)",'Frame Options'!$E6,IF('Front Specification'!M$13="A10 Matt Black (R1)",'Frame Options'!$F6,IF('Front Specification'!M$13="P10 Gloss Black (R1)",'Frame Options'!$G6,IF('Front Specification'!M$13="P11 Gloss White (R1)",'Frame Options'!$G6,0)))))</f>
        <v>0</v>
      </c>
      <c r="N32" s="88">
        <f>IF('Front Specification'!N$13="A1 Silver (R1)",'Frame Options'!$D6,IF('Front Specification'!N$13="A8 Inox (R1)",'Frame Options'!$E6,IF('Front Specification'!N$13="A10 Matt Black (R1)",'Frame Options'!$F6,IF('Front Specification'!N$13="P10 Gloss Black (R1)",'Frame Options'!$G6,IF('Front Specification'!N$13="P11 Gloss White (R1)",'Frame Options'!$G6,0)))))</f>
        <v>0</v>
      </c>
      <c r="O32" s="88">
        <f>IF('Front Specification'!O$13="A1 Silver (R1)",'Frame Options'!$D6,IF('Front Specification'!O$13="A8 Inox (R1)",'Frame Options'!$E6,IF('Front Specification'!O$13="A10 Matt Black (R1)",'Frame Options'!$F6,IF('Front Specification'!O$13="P10 Gloss Black (R1)",'Frame Options'!$G6,IF('Front Specification'!O$13="P11 Gloss White (R1)",'Frame Options'!$G6,0)))))</f>
        <v>0</v>
      </c>
      <c r="P32" s="88">
        <f>IF('Front Specification'!P$13="A1 Silver (R1)",'Frame Options'!$D6,IF('Front Specification'!P$13="A8 Inox (R1)",'Frame Options'!$E6,IF('Front Specification'!P$13="A10 Matt Black (R1)",'Frame Options'!$F6,IF('Front Specification'!P$13="P10 Gloss Black (R1)",'Frame Options'!$G6,IF('Front Specification'!P$13="P11 Gloss White (R1)",'Frame Options'!$G6,0)))))</f>
        <v>0</v>
      </c>
      <c r="Q32" s="88">
        <f>IF('Front Specification'!Q$13="A1 Silver (R1)",'Frame Options'!$D6,IF('Front Specification'!Q$13="A8 Inox (R1)",'Frame Options'!$E6,IF('Front Specification'!Q$13="A10 Matt Black (R1)",'Frame Options'!$F6,IF('Front Specification'!Q$13="P10 Gloss Black (R1)",'Frame Options'!$G6,IF('Front Specification'!Q$13="P11 Gloss White (R1)",'Frame Options'!$G6,0)))))</f>
        <v>0</v>
      </c>
      <c r="R32" s="88">
        <f>IF('Front Specification'!R$13="A1 Silver (R1)",'Frame Options'!$D6,IF('Front Specification'!R$13="A8 Inox (R1)",'Frame Options'!$E6,IF('Front Specification'!R$13="A10 Matt Black (R1)",'Frame Options'!$F6,IF('Front Specification'!R$13="P10 Gloss Black (R1)",'Frame Options'!$G6,IF('Front Specification'!R$13="P11 Gloss White (R1)",'Frame Options'!$G6,0)))))</f>
        <v>0</v>
      </c>
      <c r="S32" s="88">
        <f>IF('Front Specification'!S$13="A1 Silver (R1)",'Frame Options'!$D6,IF('Front Specification'!S$13="A8 Inox (R1)",'Frame Options'!$E6,IF('Front Specification'!S$13="A10 Matt Black (R1)",'Frame Options'!$F6,IF('Front Specification'!S$13="P10 Gloss Black (R1)",'Frame Options'!$G6,IF('Front Specification'!S$13="P11 Gloss White (R1)",'Frame Options'!$G6,0)))))</f>
        <v>0</v>
      </c>
      <c r="T32" s="88">
        <f>IF('Front Specification'!T$13="A1 Silver (R1)",'Frame Options'!$D6,IF('Front Specification'!T$13="A8 Inox (R1)",'Frame Options'!$E6,IF('Front Specification'!T$13="A10 Matt Black (R1)",'Frame Options'!$F6,IF('Front Specification'!T$13="P10 Gloss Black (R1)",'Frame Options'!$G6,IF('Front Specification'!T$13="P11 Gloss White (R1)",'Frame Options'!$G6,0)))))</f>
        <v>0</v>
      </c>
      <c r="U32" s="88">
        <f>IF('Front Specification'!U$13="A1 Silver (R1)",'Frame Options'!$D6,IF('Front Specification'!U$13="A8 Inox (R1)",'Frame Options'!$E6,IF('Front Specification'!U$13="A10 Matt Black (R1)",'Frame Options'!$F6,IF('Front Specification'!U$13="P10 Gloss Black (R1)",'Frame Options'!$G6,IF('Front Specification'!U$13="P11 Gloss White (R1)",'Frame Options'!$G6,0)))))</f>
        <v>0</v>
      </c>
      <c r="V32" s="88">
        <f>IF('Front Specification'!V$13="A1 Silver (R1)",'Frame Options'!$D6,IF('Front Specification'!V$13="A8 Inox (R1)",'Frame Options'!$E6,IF('Front Specification'!V$13="A10 Matt Black (R1)",'Frame Options'!$F6,IF('Front Specification'!V$13="P10 Gloss Black (R1)",'Frame Options'!$G6,IF('Front Specification'!V$13="P11 Gloss White (R1)",'Frame Options'!$G6,0)))))</f>
        <v>0</v>
      </c>
    </row>
    <row r="33" spans="2:22" hidden="1" x14ac:dyDescent="0.3">
      <c r="B33" s="1" t="s">
        <v>155</v>
      </c>
      <c r="C33" s="88">
        <f>IF('Front Specification'!C$13="A1 Silver (R4)",'Frame Options'!$D8,IF('Front Specification'!C$13="A10 Matt Black (R4)",'Frame Options'!$F8,0))</f>
        <v>0</v>
      </c>
      <c r="D33" s="88">
        <f>IF('Front Specification'!D$13="A1 Silver (R4)",'Frame Options'!$D8,IF('Front Specification'!D$13="A10 Matt Black (R4)",'Frame Options'!$F8,0))</f>
        <v>0</v>
      </c>
      <c r="E33" s="88">
        <f>IF('Front Specification'!E$13="A1 Silver (R4)",'Frame Options'!$D8,IF('Front Specification'!E$13="A10 Matt Black (R4)",'Frame Options'!$F8,0))</f>
        <v>0</v>
      </c>
      <c r="F33" s="88">
        <f>IF('Front Specification'!F$13="A1 Silver (R4)",'Frame Options'!$D8,IF('Front Specification'!F$13="A10 Matt Black (R4)",'Frame Options'!$F8,0))</f>
        <v>0</v>
      </c>
      <c r="G33" s="88">
        <f>IF('Front Specification'!G$13="A1 Silver (R4)",'Frame Options'!$D8,IF('Front Specification'!G$13="A10 Matt Black (R4)",'Frame Options'!$F8,0))</f>
        <v>0</v>
      </c>
      <c r="H33" s="88">
        <f>IF('Front Specification'!H$13="A1 Silver (R4)",'Frame Options'!$D8,IF('Front Specification'!H$13="A10 Matt Black (R4)",'Frame Options'!$F8,0))</f>
        <v>0</v>
      </c>
      <c r="I33" s="88">
        <f>IF('Front Specification'!I$13="A1 Silver (R4)",'Frame Options'!$D8,IF('Front Specification'!I$13="A10 Matt Black (R4)",'Frame Options'!$F8,0))</f>
        <v>0</v>
      </c>
      <c r="J33" s="88">
        <f>IF('Front Specification'!J$13="A1 Silver (R4)",'Frame Options'!$D8,IF('Front Specification'!J$13="A10 Matt Black (R4)",'Frame Options'!$F8,0))</f>
        <v>0</v>
      </c>
      <c r="K33" s="88">
        <f>IF('Front Specification'!K$13="A1 Silver (R4)",'Frame Options'!$D8,IF('Front Specification'!K$13="A10 Matt Black (R4)",'Frame Options'!$F8,0))</f>
        <v>0</v>
      </c>
      <c r="L33" s="88">
        <f>IF('Front Specification'!L$13="A1 Silver (R4)",'Frame Options'!$D8,IF('Front Specification'!L$13="A10 Matt Black (R4)",'Frame Options'!$F8,0))</f>
        <v>0</v>
      </c>
      <c r="M33" s="88">
        <f>IF('Front Specification'!M$13="A1 Silver (R4)",'Frame Options'!$D8,IF('Front Specification'!M$13="A10 Matt Black (R4)",'Frame Options'!$F8,0))</f>
        <v>0</v>
      </c>
      <c r="N33" s="88">
        <f>IF('Front Specification'!N$13="A1 Silver (R4)",'Frame Options'!$D8,IF('Front Specification'!N$13="A10 Matt Black (R4)",'Frame Options'!$F8,0))</f>
        <v>0</v>
      </c>
      <c r="O33" s="88">
        <f>IF('Front Specification'!O$13="A1 Silver (R4)",'Frame Options'!$D8,IF('Front Specification'!O$13="A10 Matt Black (R4)",'Frame Options'!$F8,0))</f>
        <v>0</v>
      </c>
      <c r="P33" s="88">
        <f>IF('Front Specification'!P$13="A1 Silver (R4)",'Frame Options'!$D8,IF('Front Specification'!P$13="A10 Matt Black (R4)",'Frame Options'!$F8,0))</f>
        <v>0</v>
      </c>
      <c r="Q33" s="88">
        <f>IF('Front Specification'!Q$13="A1 Silver (R4)",'Frame Options'!$D8,IF('Front Specification'!Q$13="A10 Matt Black (R4)",'Frame Options'!$F8,0))</f>
        <v>0</v>
      </c>
      <c r="R33" s="88">
        <f>IF('Front Specification'!R$13="A1 Silver (R4)",'Frame Options'!$D8,IF('Front Specification'!R$13="A10 Matt Black (R4)",'Frame Options'!$F8,0))</f>
        <v>0</v>
      </c>
      <c r="S33" s="88">
        <f>IF('Front Specification'!S$13="A1 Silver (R4)",'Frame Options'!$D8,IF('Front Specification'!S$13="A10 Matt Black (R4)",'Frame Options'!$F8,0))</f>
        <v>0</v>
      </c>
      <c r="T33" s="88">
        <f>IF('Front Specification'!T$13="A1 Silver (R4)",'Frame Options'!$D8,IF('Front Specification'!T$13="A10 Matt Black (R4)",'Frame Options'!$F8,0))</f>
        <v>0</v>
      </c>
      <c r="U33" s="88">
        <f>IF('Front Specification'!U$13="A1 Silver (R4)",'Frame Options'!$D8,IF('Front Specification'!U$13="A10 Matt Black (R4)",'Frame Options'!$F8,0))</f>
        <v>0</v>
      </c>
      <c r="V33" s="88">
        <f>IF('Front Specification'!V$13="A1 Silver (R4)",'Frame Options'!$D8,IF('Front Specification'!V$13="A10 Matt Black (R4)",'Frame Options'!$F8,0))</f>
        <v>0</v>
      </c>
    </row>
    <row r="34" spans="2:22" hidden="1" x14ac:dyDescent="0.3">
      <c r="B34" s="1" t="s">
        <v>157</v>
      </c>
      <c r="C34" s="88">
        <f>IF('Front Specification'!C$13="P10 Gloss Black (R10)",'Frame Options'!$G10,IF('Front Specification'!C$13="P11 Gloss White (R10)",'Frame Options'!$G10,0))</f>
        <v>0</v>
      </c>
      <c r="D34" s="88">
        <f>IF('Front Specification'!D$13="P10 Gloss Black (R10)",'Frame Options'!$G10,IF('Front Specification'!D$13="P11 Gloss White (R10)",'Frame Options'!$G10,0))</f>
        <v>0</v>
      </c>
      <c r="E34" s="88">
        <f>IF('Front Specification'!E$13="P10 Gloss Black (R10)",'Frame Options'!$G10,IF('Front Specification'!E$13="P11 Gloss White (R10)",'Frame Options'!$G10,0))</f>
        <v>0</v>
      </c>
      <c r="F34" s="88">
        <f>IF('Front Specification'!F$13="P10 Gloss Black (R10)",'Frame Options'!$G10,IF('Front Specification'!F$13="P11 Gloss White (R10)",'Frame Options'!$G10,0))</f>
        <v>0</v>
      </c>
      <c r="G34" s="88">
        <f>IF('Front Specification'!G$13="P10 Gloss Black (R10)",'Frame Options'!$G10,IF('Front Specification'!G$13="P11 Gloss White (R10)",'Frame Options'!$G10,0))</f>
        <v>0</v>
      </c>
      <c r="H34" s="88">
        <f>IF('Front Specification'!H$13="P10 Gloss Black (R10)",'Frame Options'!$G10,IF('Front Specification'!H$13="P11 Gloss White (R10)",'Frame Options'!$G10,0))</f>
        <v>0</v>
      </c>
      <c r="I34" s="88">
        <f>IF('Front Specification'!I$13="P10 Gloss Black (R10)",'Frame Options'!$G10,IF('Front Specification'!I$13="P11 Gloss White (R10)",'Frame Options'!$G10,0))</f>
        <v>0</v>
      </c>
      <c r="J34" s="88">
        <f>IF('Front Specification'!J$13="P10 Gloss Black (R10)",'Frame Options'!$G10,IF('Front Specification'!J$13="P11 Gloss White (R10)",'Frame Options'!$G10,0))</f>
        <v>0</v>
      </c>
      <c r="K34" s="88">
        <f>IF('Front Specification'!K$13="P10 Gloss Black (R10)",'Frame Options'!$G10,IF('Front Specification'!K$13="P11 Gloss White (R10)",'Frame Options'!$G10,0))</f>
        <v>0</v>
      </c>
      <c r="L34" s="88">
        <f>IF('Front Specification'!L$13="P10 Gloss Black (R10)",'Frame Options'!$G10,IF('Front Specification'!L$13="P11 Gloss White (R10)",'Frame Options'!$G10,0))</f>
        <v>0</v>
      </c>
      <c r="M34" s="88">
        <f>IF('Front Specification'!M$13="P10 Gloss Black (R10)",'Frame Options'!$G10,IF('Front Specification'!M$13="P11 Gloss White (R10)",'Frame Options'!$G10,0))</f>
        <v>0</v>
      </c>
      <c r="N34" s="88">
        <f>IF('Front Specification'!N$13="P10 Gloss Black (R10)",'Frame Options'!$G10,IF('Front Specification'!N$13="P11 Gloss White (R10)",'Frame Options'!$G10,0))</f>
        <v>0</v>
      </c>
      <c r="O34" s="88">
        <f>IF('Front Specification'!O$13="P10 Gloss Black (R10)",'Frame Options'!$G10,IF('Front Specification'!O$13="P11 Gloss White (R10)",'Frame Options'!$G10,0))</f>
        <v>0</v>
      </c>
      <c r="P34" s="88">
        <f>IF('Front Specification'!P$13="P10 Gloss Black (R10)",'Frame Options'!$G10,IF('Front Specification'!P$13="P11 Gloss White (R10)",'Frame Options'!$G10,0))</f>
        <v>0</v>
      </c>
      <c r="Q34" s="88">
        <f>IF('Front Specification'!Q$13="P10 Gloss Black (R10)",'Frame Options'!$G10,IF('Front Specification'!Q$13="P11 Gloss White (R10)",'Frame Options'!$G10,0))</f>
        <v>0</v>
      </c>
      <c r="R34" s="88">
        <f>IF('Front Specification'!R$13="P10 Gloss Black (R10)",'Frame Options'!$G10,IF('Front Specification'!R$13="P11 Gloss White (R10)",'Frame Options'!$G10,0))</f>
        <v>0</v>
      </c>
      <c r="S34" s="88">
        <f>IF('Front Specification'!S$13="P10 Gloss Black (R10)",'Frame Options'!$G10,IF('Front Specification'!S$13="P11 Gloss White (R10)",'Frame Options'!$G10,0))</f>
        <v>0</v>
      </c>
      <c r="T34" s="88">
        <f>IF('Front Specification'!T$13="P10 Gloss Black (R10)",'Frame Options'!$G10,IF('Front Specification'!T$13="P11 Gloss White (R10)",'Frame Options'!$G10,0))</f>
        <v>0</v>
      </c>
      <c r="U34" s="88">
        <f>IF('Front Specification'!U$13="P10 Gloss Black (R10)",'Frame Options'!$G10,IF('Front Specification'!U$13="P11 Gloss White (R10)",'Frame Options'!$G10,0))</f>
        <v>0</v>
      </c>
      <c r="V34" s="88">
        <f>IF('Front Specification'!V$13="P10 Gloss Black (R10)",'Frame Options'!$G10,IF('Front Specification'!V$13="P11 Gloss White (R10)",'Frame Options'!$G10,0))</f>
        <v>0</v>
      </c>
    </row>
    <row r="35" spans="2:22" hidden="1" x14ac:dyDescent="0.3">
      <c r="B35" s="1" t="s">
        <v>159</v>
      </c>
      <c r="C35" s="88">
        <f>IF('Front Specification'!C$13="A1 Silver (R11)",'Frame Options'!$D12,IF('Front Specification'!C$13="A8 Inox (R11)",'Frame Options'!$E12,IF('Front Specification'!C$13="A10 Matt Black (R11)",'Frame Options'!$F12,IF('Front Specification'!C$13="P10 Gloss Black (R11)",'Frame Options'!$G12,IF('Front Specification'!C$13="P11 Gloss White (R11)",'Frame Options'!$G12,0)))))</f>
        <v>0</v>
      </c>
      <c r="D35" s="88">
        <f>IF('Front Specification'!D$13="A1 Silver (R11)",'Frame Options'!$D12,IF('Front Specification'!D$13="A8 Inox (R11)",'Frame Options'!$E12,IF('Front Specification'!D$13="A10 Matt Black (R11)",'Frame Options'!$F12,IF('Front Specification'!D$13="P10 Gloss Black (R11)",'Frame Options'!$G12,IF('Front Specification'!D$13="P11 Gloss White (R11)",'Frame Options'!$G12,0)))))</f>
        <v>0</v>
      </c>
      <c r="E35" s="88">
        <f>IF('Front Specification'!E$13="A1 Silver (R11)",'Frame Options'!$D12,IF('Front Specification'!E$13="A8 Inox (R11)",'Frame Options'!$E12,IF('Front Specification'!E$13="A10 Matt Black (R11)",'Frame Options'!$F12,IF('Front Specification'!E$13="P10 Gloss Black (R11)",'Frame Options'!$G12,IF('Front Specification'!E$13="P11 Gloss White (R11)",'Frame Options'!$G12,0)))))</f>
        <v>0</v>
      </c>
      <c r="F35" s="88">
        <f>IF('Front Specification'!F$13="A1 Silver (R11)",'Frame Options'!$D12,IF('Front Specification'!F$13="A8 Inox (R11)",'Frame Options'!$E12,IF('Front Specification'!F$13="A10 Matt Black (R11)",'Frame Options'!$F12,IF('Front Specification'!F$13="P10 Gloss Black (R11)",'Frame Options'!$G12,IF('Front Specification'!F$13="P11 Gloss White (R11)",'Frame Options'!$G12,0)))))</f>
        <v>0</v>
      </c>
      <c r="G35" s="88">
        <f>IF('Front Specification'!G$13="A1 Silver (R11)",'Frame Options'!$D12,IF('Front Specification'!G$13="A8 Inox (R11)",'Frame Options'!$E12,IF('Front Specification'!G$13="A10 Matt Black (R11)",'Frame Options'!$F12,IF('Front Specification'!G$13="P10 Gloss Black (R11)",'Frame Options'!$G12,IF('Front Specification'!G$13="P11 Gloss White (R11)",'Frame Options'!$G12,0)))))</f>
        <v>0</v>
      </c>
      <c r="H35" s="88">
        <f>IF('Front Specification'!H$13="A1 Silver (R11)",'Frame Options'!$D12,IF('Front Specification'!H$13="A8 Inox (R11)",'Frame Options'!$E12,IF('Front Specification'!H$13="A10 Matt Black (R11)",'Frame Options'!$F12,IF('Front Specification'!H$13="P10 Gloss Black (R11)",'Frame Options'!$G12,IF('Front Specification'!H$13="P11 Gloss White (R11)",'Frame Options'!$G12,0)))))</f>
        <v>0</v>
      </c>
      <c r="I35" s="88">
        <f>IF('Front Specification'!I$13="A1 Silver (R11)",'Frame Options'!$D12,IF('Front Specification'!I$13="A8 Inox (R11)",'Frame Options'!$E12,IF('Front Specification'!I$13="A10 Matt Black (R11)",'Frame Options'!$F12,IF('Front Specification'!I$13="P10 Gloss Black (R11)",'Frame Options'!$G12,IF('Front Specification'!I$13="P11 Gloss White (R11)",'Frame Options'!$G12,0)))))</f>
        <v>0</v>
      </c>
      <c r="J35" s="88">
        <f>IF('Front Specification'!J$13="A1 Silver (R11)",'Frame Options'!$D12,IF('Front Specification'!J$13="A8 Inox (R11)",'Frame Options'!$E12,IF('Front Specification'!J$13="A10 Matt Black (R11)",'Frame Options'!$F12,IF('Front Specification'!J$13="P10 Gloss Black (R11)",'Frame Options'!$G12,IF('Front Specification'!J$13="P11 Gloss White (R11)",'Frame Options'!$G12,0)))))</f>
        <v>0</v>
      </c>
      <c r="K35" s="88">
        <f>IF('Front Specification'!K$13="A1 Silver (R11)",'Frame Options'!$D12,IF('Front Specification'!K$13="A8 Inox (R11)",'Frame Options'!$E12,IF('Front Specification'!K$13="A10 Matt Black (R11)",'Frame Options'!$F12,IF('Front Specification'!K$13="P10 Gloss Black (R11)",'Frame Options'!$G12,IF('Front Specification'!K$13="P11 Gloss White (R11)",'Frame Options'!$G12,0)))))</f>
        <v>0</v>
      </c>
      <c r="L35" s="88">
        <f>IF('Front Specification'!L$13="A1 Silver (R11)",'Frame Options'!$D12,IF('Front Specification'!L$13="A8 Inox (R11)",'Frame Options'!$E12,IF('Front Specification'!L$13="A10 Matt Black (R11)",'Frame Options'!$F12,IF('Front Specification'!L$13="P10 Gloss Black (R11)",'Frame Options'!$G12,IF('Front Specification'!L$13="P11 Gloss White (R11)",'Frame Options'!$G12,0)))))</f>
        <v>0</v>
      </c>
      <c r="M35" s="88">
        <f>IF('Front Specification'!M$13="A1 Silver (R11)",'Frame Options'!$D12,IF('Front Specification'!M$13="A8 Inox (R11)",'Frame Options'!$E12,IF('Front Specification'!M$13="A10 Matt Black (R11)",'Frame Options'!$F12,IF('Front Specification'!M$13="P10 Gloss Black (R11)",'Frame Options'!$G12,IF('Front Specification'!M$13="P11 Gloss White (R11)",'Frame Options'!$G12,0)))))</f>
        <v>0</v>
      </c>
      <c r="N35" s="88">
        <f>IF('Front Specification'!N$13="A1 Silver (R11)",'Frame Options'!$D12,IF('Front Specification'!N$13="A8 Inox (R11)",'Frame Options'!$E12,IF('Front Specification'!N$13="A10 Matt Black (R11)",'Frame Options'!$F12,IF('Front Specification'!N$13="P10 Gloss Black (R11)",'Frame Options'!$G12,IF('Front Specification'!N$13="P11 Gloss White (R11)",'Frame Options'!$G12,0)))))</f>
        <v>0</v>
      </c>
      <c r="O35" s="88">
        <f>IF('Front Specification'!O$13="A1 Silver (R11)",'Frame Options'!$D12,IF('Front Specification'!O$13="A8 Inox (R11)",'Frame Options'!$E12,IF('Front Specification'!O$13="A10 Matt Black (R11)",'Frame Options'!$F12,IF('Front Specification'!O$13="P10 Gloss Black (R11)",'Frame Options'!$G12,IF('Front Specification'!O$13="P11 Gloss White (R11)",'Frame Options'!$G12,0)))))</f>
        <v>0</v>
      </c>
      <c r="P35" s="88">
        <f>IF('Front Specification'!P$13="A1 Silver (R11)",'Frame Options'!$D12,IF('Front Specification'!P$13="A8 Inox (R11)",'Frame Options'!$E12,IF('Front Specification'!P$13="A10 Matt Black (R11)",'Frame Options'!$F12,IF('Front Specification'!P$13="P10 Gloss Black (R11)",'Frame Options'!$G12,IF('Front Specification'!P$13="P11 Gloss White (R11)",'Frame Options'!$G12,0)))))</f>
        <v>0</v>
      </c>
      <c r="Q35" s="88">
        <f>IF('Front Specification'!Q$13="A1 Silver (R11)",'Frame Options'!$D12,IF('Front Specification'!Q$13="A8 Inox (R11)",'Frame Options'!$E12,IF('Front Specification'!Q$13="A10 Matt Black (R11)",'Frame Options'!$F12,IF('Front Specification'!Q$13="P10 Gloss Black (R11)",'Frame Options'!$G12,IF('Front Specification'!Q$13="P11 Gloss White (R11)",'Frame Options'!$G12,0)))))</f>
        <v>0</v>
      </c>
      <c r="R35" s="88">
        <f>IF('Front Specification'!R$13="A1 Silver (R11)",'Frame Options'!$D12,IF('Front Specification'!R$13="A8 Inox (R11)",'Frame Options'!$E12,IF('Front Specification'!R$13="A10 Matt Black (R11)",'Frame Options'!$F12,IF('Front Specification'!R$13="P10 Gloss Black (R11)",'Frame Options'!$G12,IF('Front Specification'!R$13="P11 Gloss White (R11)",'Frame Options'!$G12,0)))))</f>
        <v>0</v>
      </c>
      <c r="S35" s="88">
        <f>IF('Front Specification'!S$13="A1 Silver (R11)",'Frame Options'!$D12,IF('Front Specification'!S$13="A8 Inox (R11)",'Frame Options'!$E12,IF('Front Specification'!S$13="A10 Matt Black (R11)",'Frame Options'!$F12,IF('Front Specification'!S$13="P10 Gloss Black (R11)",'Frame Options'!$G12,IF('Front Specification'!S$13="P11 Gloss White (R11)",'Frame Options'!$G12,0)))))</f>
        <v>0</v>
      </c>
      <c r="T35" s="88">
        <f>IF('Front Specification'!T$13="A1 Silver (R11)",'Frame Options'!$D12,IF('Front Specification'!T$13="A8 Inox (R11)",'Frame Options'!$E12,IF('Front Specification'!T$13="A10 Matt Black (R11)",'Frame Options'!$F12,IF('Front Specification'!T$13="P10 Gloss Black (R11)",'Frame Options'!$G12,IF('Front Specification'!T$13="P11 Gloss White (R11)",'Frame Options'!$G12,0)))))</f>
        <v>0</v>
      </c>
      <c r="U35" s="88">
        <f>IF('Front Specification'!U$13="A1 Silver (R11)",'Frame Options'!$D12,IF('Front Specification'!U$13="A8 Inox (R11)",'Frame Options'!$E12,IF('Front Specification'!U$13="A10 Matt Black (R11)",'Frame Options'!$F12,IF('Front Specification'!U$13="P10 Gloss Black (R11)",'Frame Options'!$G12,IF('Front Specification'!U$13="P11 Gloss White (R11)",'Frame Options'!$G12,0)))))</f>
        <v>0</v>
      </c>
      <c r="V35" s="88">
        <f>IF('Front Specification'!V$13="A1 Silver (R11)",'Frame Options'!$D12,IF('Front Specification'!V$13="A8 Inox (R11)",'Frame Options'!$E12,IF('Front Specification'!V$13="A10 Matt Black (R11)",'Frame Options'!$F12,IF('Front Specification'!V$13="P10 Gloss Black (R11)",'Frame Options'!$G12,IF('Front Specification'!V$13="P11 Gloss White (R11)",'Frame Options'!$G12,0)))))</f>
        <v>0</v>
      </c>
    </row>
    <row r="36" spans="2:22" hidden="1" x14ac:dyDescent="0.3">
      <c r="B36" s="1" t="s">
        <v>161</v>
      </c>
      <c r="C36" s="88">
        <f>IF('Front Specification'!C$13="A1 Silver (R13)",'Frame Options'!$D14,IF('Front Specification'!C$13="A10 Matt Black (R13)",'Frame Options'!$F14,0))</f>
        <v>0</v>
      </c>
      <c r="D36" s="88">
        <f>IF('Front Specification'!D$13="A1 Silver (R13)",'Frame Options'!$D14,IF('Front Specification'!D$13="A10 Matt Black (R13)",'Frame Options'!$F14,0))</f>
        <v>0</v>
      </c>
      <c r="E36" s="88">
        <f>IF('Front Specification'!E$13="A1 Silver (R13)",'Frame Options'!$D14,IF('Front Specification'!E$13="A10 Matt Black (R13)",'Frame Options'!$F14,0))</f>
        <v>0</v>
      </c>
      <c r="F36" s="88">
        <f>IF('Front Specification'!F$13="A1 Silver (R13)",'Frame Options'!$D14,IF('Front Specification'!F$13="A10 Matt Black (R13)",'Frame Options'!$F14,0))</f>
        <v>0</v>
      </c>
      <c r="G36" s="88">
        <f>IF('Front Specification'!G$13="A1 Silver (R13)",'Frame Options'!$D14,IF('Front Specification'!G$13="A10 Matt Black (R13)",'Frame Options'!$F14,0))</f>
        <v>0</v>
      </c>
      <c r="H36" s="88">
        <f>IF('Front Specification'!H$13="A1 Silver (R13)",'Frame Options'!$D14,IF('Front Specification'!H$13="A10 Matt Black (R13)",'Frame Options'!$F14,0))</f>
        <v>0</v>
      </c>
      <c r="I36" s="88">
        <f>IF('Front Specification'!I$13="A1 Silver (R13)",'Frame Options'!$D14,IF('Front Specification'!I$13="A10 Matt Black (R13)",'Frame Options'!$F14,0))</f>
        <v>0</v>
      </c>
      <c r="J36" s="88">
        <f>IF('Front Specification'!J$13="A1 Silver (R13)",'Frame Options'!$D14,IF('Front Specification'!J$13="A10 Matt Black (R13)",'Frame Options'!$F14,0))</f>
        <v>0</v>
      </c>
      <c r="K36" s="88">
        <f>IF('Front Specification'!K$13="A1 Silver (R13)",'Frame Options'!$D14,IF('Front Specification'!K$13="A10 Matt Black (R13)",'Frame Options'!$F14,0))</f>
        <v>0</v>
      </c>
      <c r="L36" s="88">
        <f>IF('Front Specification'!L$13="A1 Silver (R13)",'Frame Options'!$D14,IF('Front Specification'!L$13="A10 Matt Black (R13)",'Frame Options'!$F14,0))</f>
        <v>0</v>
      </c>
      <c r="M36" s="88">
        <f>IF('Front Specification'!M$13="A1 Silver (R13)",'Frame Options'!$D14,IF('Front Specification'!M$13="A10 Matt Black (R13)",'Frame Options'!$F14,0))</f>
        <v>0</v>
      </c>
      <c r="N36" s="88">
        <f>IF('Front Specification'!N$13="A1 Silver (R13)",'Frame Options'!$D14,IF('Front Specification'!N$13="A10 Matt Black (R13)",'Frame Options'!$F14,0))</f>
        <v>0</v>
      </c>
      <c r="O36" s="88">
        <f>IF('Front Specification'!O$13="A1 Silver (R13)",'Frame Options'!$D14,IF('Front Specification'!O$13="A10 Matt Black (R13)",'Frame Options'!$F14,0))</f>
        <v>0</v>
      </c>
      <c r="P36" s="88">
        <f>IF('Front Specification'!P$13="A1 Silver (R13)",'Frame Options'!$D14,IF('Front Specification'!P$13="A10 Matt Black (R13)",'Frame Options'!$F14,0))</f>
        <v>0</v>
      </c>
      <c r="Q36" s="88">
        <f>IF('Front Specification'!Q$13="A1 Silver (R13)",'Frame Options'!$D14,IF('Front Specification'!Q$13="A10 Matt Black (R13)",'Frame Options'!$F14,0))</f>
        <v>0</v>
      </c>
      <c r="R36" s="88">
        <f>IF('Front Specification'!R$13="A1 Silver (R13)",'Frame Options'!$D14,IF('Front Specification'!R$13="A10 Matt Black (R13)",'Frame Options'!$F14,0))</f>
        <v>0</v>
      </c>
      <c r="S36" s="88">
        <f>IF('Front Specification'!S$13="A1 Silver (R13)",'Frame Options'!$D14,IF('Front Specification'!S$13="A10 Matt Black (R13)",'Frame Options'!$F14,0))</f>
        <v>0</v>
      </c>
      <c r="T36" s="88">
        <f>IF('Front Specification'!T$13="A1 Silver (R13)",'Frame Options'!$D14,IF('Front Specification'!T$13="A10 Matt Black (R13)",'Frame Options'!$F14,0))</f>
        <v>0</v>
      </c>
      <c r="U36" s="88">
        <f>IF('Front Specification'!U$13="A1 Silver (R13)",'Frame Options'!$D14,IF('Front Specification'!U$13="A10 Matt Black (R13)",'Frame Options'!$F14,0))</f>
        <v>0</v>
      </c>
      <c r="V36" s="88">
        <f>IF('Front Specification'!V$13="A1 Silver (R13)",'Frame Options'!$D14,IF('Front Specification'!V$13="A10 Matt Black (R13)",'Frame Options'!$F14,0))</f>
        <v>0</v>
      </c>
    </row>
    <row r="37" spans="2:22" hidden="1" x14ac:dyDescent="0.3">
      <c r="B37" s="1" t="s">
        <v>163</v>
      </c>
      <c r="C37" s="88">
        <f>IF('Front Specification'!C$13="A10 Matt Black (R15)",'Frame Options'!$F16,0)</f>
        <v>0</v>
      </c>
      <c r="D37" s="88">
        <f>IF('Front Specification'!D$13="A10 Matt Black (R15)",'Frame Options'!$F16,0)</f>
        <v>0</v>
      </c>
      <c r="E37" s="88">
        <f>IF('Front Specification'!E$13="A10 Matt Black (R15)",'Frame Options'!$F16,0)</f>
        <v>0</v>
      </c>
      <c r="F37" s="88">
        <f>IF('Front Specification'!F$13="A10 Matt Black (R15)",'Frame Options'!$F16,0)</f>
        <v>0</v>
      </c>
      <c r="G37" s="88">
        <f>IF('Front Specification'!G$13="A10 Matt Black (R15)",'Frame Options'!$F16,0)</f>
        <v>0</v>
      </c>
      <c r="H37" s="88">
        <f>IF('Front Specification'!H$13="A10 Matt Black (R15)",'Frame Options'!$F16,0)</f>
        <v>0</v>
      </c>
      <c r="I37" s="88">
        <f>IF('Front Specification'!I$13="A10 Matt Black (R15)",'Frame Options'!$F16,0)</f>
        <v>0</v>
      </c>
      <c r="J37" s="88">
        <f>IF('Front Specification'!J$13="A10 Matt Black (R15)",'Frame Options'!$F16,0)</f>
        <v>0</v>
      </c>
      <c r="K37" s="88">
        <f>IF('Front Specification'!K$13="A10 Matt Black (R15)",'Frame Options'!$F16,0)</f>
        <v>0</v>
      </c>
      <c r="L37" s="88">
        <f>IF('Front Specification'!L$13="A10 Matt Black (R15)",'Frame Options'!$F16,0)</f>
        <v>0</v>
      </c>
      <c r="M37" s="88">
        <f>IF('Front Specification'!M$13="A10 Matt Black (R15)",'Frame Options'!$F16,0)</f>
        <v>0</v>
      </c>
      <c r="N37" s="88">
        <f>IF('Front Specification'!N$13="A10 Matt Black (R15)",'Frame Options'!$F16,0)</f>
        <v>0</v>
      </c>
      <c r="O37" s="88">
        <f>IF('Front Specification'!O$13="A10 Matt Black (R15)",'Frame Options'!$F16,0)</f>
        <v>0</v>
      </c>
      <c r="P37" s="88">
        <f>IF('Front Specification'!P$13="A10 Matt Black (R15)",'Frame Options'!$F16,0)</f>
        <v>0</v>
      </c>
      <c r="Q37" s="88">
        <f>IF('Front Specification'!Q$13="A10 Matt Black (R15)",'Frame Options'!$F16,0)</f>
        <v>0</v>
      </c>
      <c r="R37" s="88">
        <f>IF('Front Specification'!R$13="A10 Matt Black (R15)",'Frame Options'!$F16,0)</f>
        <v>0</v>
      </c>
      <c r="S37" s="88">
        <f>IF('Front Specification'!S$13="A10 Matt Black (R15)",'Frame Options'!$F16,0)</f>
        <v>0</v>
      </c>
      <c r="T37" s="88">
        <f>IF('Front Specification'!T$13="A10 Matt Black (R15)",'Frame Options'!$F16,0)</f>
        <v>0</v>
      </c>
      <c r="U37" s="88">
        <f>IF('Front Specification'!U$13="A10 Matt Black (R15)",'Frame Options'!$F16,0)</f>
        <v>0</v>
      </c>
      <c r="V37" s="88">
        <f>IF('Front Specification'!V$13="A10 Matt Black (R15)",'Frame Options'!$F16,0)</f>
        <v>0</v>
      </c>
    </row>
    <row r="38" spans="2:22" hidden="1" x14ac:dyDescent="0.3">
      <c r="B38" s="1" t="s">
        <v>165</v>
      </c>
      <c r="C38" s="88">
        <f>IF('Front Specification'!C$13="A1 Silver (R50)",'Frame Options'!$D18,0)</f>
        <v>0</v>
      </c>
      <c r="D38" s="88">
        <f>IF('Front Specification'!D$13="A1 Silver (R50)",'Frame Options'!$D18,0)</f>
        <v>0</v>
      </c>
      <c r="E38" s="88">
        <f>IF('Front Specification'!E$13="A1 Silver (R50)",'Frame Options'!$D18,0)</f>
        <v>0</v>
      </c>
      <c r="F38" s="88">
        <f>IF('Front Specification'!F$13="A1 Silver (R50)",'Frame Options'!$D18,0)</f>
        <v>0</v>
      </c>
      <c r="G38" s="88">
        <f>IF('Front Specification'!G$13="A1 Silver (R50)",'Frame Options'!$D18,0)</f>
        <v>0</v>
      </c>
      <c r="H38" s="88">
        <f>IF('Front Specification'!H$13="A1 Silver (R50)",'Frame Options'!$D18,0)</f>
        <v>0</v>
      </c>
      <c r="I38" s="88">
        <f>IF('Front Specification'!I$13="A1 Silver (R50)",'Frame Options'!$D18,0)</f>
        <v>0</v>
      </c>
      <c r="J38" s="88">
        <f>IF('Front Specification'!J$13="A1 Silver (R50)",'Frame Options'!$D18,0)</f>
        <v>0</v>
      </c>
      <c r="K38" s="88">
        <f>IF('Front Specification'!K$13="A1 Silver (R50)",'Frame Options'!$D18,0)</f>
        <v>0</v>
      </c>
      <c r="L38" s="88">
        <f>IF('Front Specification'!L$13="A1 Silver (R50)",'Frame Options'!$D18,0)</f>
        <v>0</v>
      </c>
      <c r="M38" s="88">
        <f>IF('Front Specification'!M$13="A1 Silver (R50)",'Frame Options'!$D18,0)</f>
        <v>0</v>
      </c>
      <c r="N38" s="88">
        <f>IF('Front Specification'!N$13="A1 Silver (R50)",'Frame Options'!$D18,0)</f>
        <v>0</v>
      </c>
      <c r="O38" s="88">
        <f>IF('Front Specification'!O$13="A1 Silver (R50)",'Frame Options'!$D18,0)</f>
        <v>0</v>
      </c>
      <c r="P38" s="88">
        <f>IF('Front Specification'!P$13="A1 Silver (R50)",'Frame Options'!$D18,0)</f>
        <v>0</v>
      </c>
      <c r="Q38" s="88">
        <f>IF('Front Specification'!Q$13="A1 Silver (R50)",'Frame Options'!$D18,0)</f>
        <v>0</v>
      </c>
      <c r="R38" s="88">
        <f>IF('Front Specification'!R$13="A1 Silver (R50)",'Frame Options'!$D18,0)</f>
        <v>0</v>
      </c>
      <c r="S38" s="88">
        <f>IF('Front Specification'!S$13="A1 Silver (R50)",'Frame Options'!$D18,0)</f>
        <v>0</v>
      </c>
      <c r="T38" s="88">
        <f>IF('Front Specification'!T$13="A1 Silver (R50)",'Frame Options'!$D18,0)</f>
        <v>0</v>
      </c>
      <c r="U38" s="88">
        <f>IF('Front Specification'!U$13="A1 Silver (R50)",'Frame Options'!$D18,0)</f>
        <v>0</v>
      </c>
      <c r="V38" s="88">
        <f>IF('Front Specification'!V$13="A1 Silver (R50)",'Frame Options'!$D18,0)</f>
        <v>0</v>
      </c>
    </row>
    <row r="39" spans="2:22" hidden="1" x14ac:dyDescent="0.3">
      <c r="B39" s="1" t="s">
        <v>170</v>
      </c>
      <c r="C39" s="88">
        <f>IF('Front Specification'!C12='Front Specification'!$AB$3,Costing!C32,IF('Front Specification'!C12='Front Specification'!$AC$3,Costing!C33,IF('Front Specification'!C12='Front Specification'!$AD$3,Costing!C34,IF('Front Specification'!C12='Front Specification'!$AE$3,Costing!C35,IF('Front Specification'!C12='Front Specification'!$AF$3,Costing!C36,IF('Front Specification'!C12='Front Specification'!$AG$3,Costing!C37,IF('Front Specification'!C12='Front Specification'!$AH$3,Costing!C38,0)))))))</f>
        <v>0</v>
      </c>
      <c r="D39" s="88">
        <f>IF('Front Specification'!D12='Front Specification'!$AB$3,Costing!D32,IF('Front Specification'!D12='Front Specification'!$AC$3,Costing!D33,IF('Front Specification'!D12='Front Specification'!$AD$3,Costing!D34,IF('Front Specification'!D12='Front Specification'!$AE$3,Costing!D35,IF('Front Specification'!D12='Front Specification'!$AF$3,Costing!D36,IF('Front Specification'!D12='Front Specification'!$AG$3,Costing!D37,IF('Front Specification'!D12='Front Specification'!$AH$3,Costing!D38,0)))))))</f>
        <v>0</v>
      </c>
      <c r="E39" s="88">
        <f>IF('Front Specification'!E12='Front Specification'!$AB$3,Costing!E32,IF('Front Specification'!E12='Front Specification'!$AC$3,Costing!E33,IF('Front Specification'!E12='Front Specification'!$AD$3,Costing!E34,IF('Front Specification'!E12='Front Specification'!$AE$3,Costing!E35,IF('Front Specification'!E12='Front Specification'!$AF$3,Costing!E36,IF('Front Specification'!E12='Front Specification'!$AG$3,Costing!E37,IF('Front Specification'!E12='Front Specification'!$AH$3,Costing!E38,0)))))))</f>
        <v>0</v>
      </c>
      <c r="F39" s="88">
        <f>IF('Front Specification'!F12='Front Specification'!$AB$3,Costing!F32,IF('Front Specification'!F12='Front Specification'!$AC$3,Costing!F33,IF('Front Specification'!F12='Front Specification'!$AD$3,Costing!F34,IF('Front Specification'!F12='Front Specification'!$AE$3,Costing!F35,IF('Front Specification'!F12='Front Specification'!$AF$3,Costing!F36,IF('Front Specification'!F12='Front Specification'!$AG$3,Costing!F37,IF('Front Specification'!F12='Front Specification'!$AH$3,Costing!F38,0)))))))</f>
        <v>0</v>
      </c>
      <c r="G39" s="88">
        <f>IF('Front Specification'!G12='Front Specification'!$AB$3,Costing!G32,IF('Front Specification'!G12='Front Specification'!$AC$3,Costing!G33,IF('Front Specification'!G12='Front Specification'!$AD$3,Costing!G34,IF('Front Specification'!G12='Front Specification'!$AE$3,Costing!G35,IF('Front Specification'!G12='Front Specification'!$AF$3,Costing!G36,IF('Front Specification'!G12='Front Specification'!$AG$3,Costing!G37,IF('Front Specification'!G12='Front Specification'!$AH$3,Costing!G38,0)))))))</f>
        <v>0</v>
      </c>
      <c r="H39" s="88">
        <f>IF('Front Specification'!H12='Front Specification'!$AB$3,Costing!H32,IF('Front Specification'!H12='Front Specification'!$AC$3,Costing!H33,IF('Front Specification'!H12='Front Specification'!$AD$3,Costing!H34,IF('Front Specification'!H12='Front Specification'!$AE$3,Costing!H35,IF('Front Specification'!H12='Front Specification'!$AF$3,Costing!H36,IF('Front Specification'!H12='Front Specification'!$AG$3,Costing!H37,IF('Front Specification'!H12='Front Specification'!$AH$3,Costing!H38,0)))))))</f>
        <v>0</v>
      </c>
      <c r="I39" s="88">
        <f>IF('Front Specification'!I12='Front Specification'!$AB$3,Costing!I32,IF('Front Specification'!I12='Front Specification'!$AC$3,Costing!I33,IF('Front Specification'!I12='Front Specification'!$AD$3,Costing!I34,IF('Front Specification'!I12='Front Specification'!$AE$3,Costing!I35,IF('Front Specification'!I12='Front Specification'!$AF$3,Costing!I36,IF('Front Specification'!I12='Front Specification'!$AG$3,Costing!I37,IF('Front Specification'!I12='Front Specification'!$AH$3,Costing!I38,0)))))))</f>
        <v>0</v>
      </c>
      <c r="J39" s="88">
        <f>IF('Front Specification'!J12='Front Specification'!$AB$3,Costing!J32,IF('Front Specification'!J12='Front Specification'!$AC$3,Costing!J33,IF('Front Specification'!J12='Front Specification'!$AD$3,Costing!J34,IF('Front Specification'!J12='Front Specification'!$AE$3,Costing!J35,IF('Front Specification'!J12='Front Specification'!$AF$3,Costing!J36,IF('Front Specification'!J12='Front Specification'!$AG$3,Costing!J37,IF('Front Specification'!J12='Front Specification'!$AH$3,Costing!J38,0)))))))</f>
        <v>0</v>
      </c>
      <c r="K39" s="88">
        <f>IF('Front Specification'!K12='Front Specification'!$AB$3,Costing!K32,IF('Front Specification'!K12='Front Specification'!$AC$3,Costing!K33,IF('Front Specification'!K12='Front Specification'!$AD$3,Costing!K34,IF('Front Specification'!K12='Front Specification'!$AE$3,Costing!K35,IF('Front Specification'!K12='Front Specification'!$AF$3,Costing!K36,IF('Front Specification'!K12='Front Specification'!$AG$3,Costing!K37,IF('Front Specification'!K12='Front Specification'!$AH$3,Costing!K38,0)))))))</f>
        <v>0</v>
      </c>
      <c r="L39" s="88">
        <f>IF('Front Specification'!L12='Front Specification'!$AB$3,Costing!L32,IF('Front Specification'!L12='Front Specification'!$AC$3,Costing!L33,IF('Front Specification'!L12='Front Specification'!$AD$3,Costing!L34,IF('Front Specification'!L12='Front Specification'!$AE$3,Costing!L35,IF('Front Specification'!L12='Front Specification'!$AF$3,Costing!L36,IF('Front Specification'!L12='Front Specification'!$AG$3,Costing!L37,IF('Front Specification'!L12='Front Specification'!$AH$3,Costing!L38,0)))))))</f>
        <v>0</v>
      </c>
      <c r="M39" s="88">
        <f>IF('Front Specification'!M12='Front Specification'!$AB$3,Costing!M32,IF('Front Specification'!M12='Front Specification'!$AC$3,Costing!M33,IF('Front Specification'!M12='Front Specification'!$AD$3,Costing!M34,IF('Front Specification'!M12='Front Specification'!$AE$3,Costing!M35,IF('Front Specification'!M12='Front Specification'!$AF$3,Costing!M36,IF('Front Specification'!M12='Front Specification'!$AG$3,Costing!M37,IF('Front Specification'!M12='Front Specification'!$AH$3,Costing!M38,0)))))))</f>
        <v>0</v>
      </c>
      <c r="N39" s="88">
        <f>IF('Front Specification'!N12='Front Specification'!$AB$3,Costing!N32,IF('Front Specification'!N12='Front Specification'!$AC$3,Costing!N33,IF('Front Specification'!N12='Front Specification'!$AD$3,Costing!N34,IF('Front Specification'!N12='Front Specification'!$AE$3,Costing!N35,IF('Front Specification'!N12='Front Specification'!$AF$3,Costing!N36,IF('Front Specification'!N12='Front Specification'!$AG$3,Costing!N37,IF('Front Specification'!N12='Front Specification'!$AH$3,Costing!N38,0)))))))</f>
        <v>0</v>
      </c>
      <c r="O39" s="88">
        <f>IF('Front Specification'!O12='Front Specification'!$AB$3,Costing!O32,IF('Front Specification'!O12='Front Specification'!$AC$3,Costing!O33,IF('Front Specification'!O12='Front Specification'!$AD$3,Costing!O34,IF('Front Specification'!O12='Front Specification'!$AE$3,Costing!O35,IF('Front Specification'!O12='Front Specification'!$AF$3,Costing!O36,IF('Front Specification'!O12='Front Specification'!$AG$3,Costing!O37,IF('Front Specification'!O12='Front Specification'!$AH$3,Costing!O38,0)))))))</f>
        <v>0</v>
      </c>
      <c r="P39" s="88">
        <f>IF('Front Specification'!P12='Front Specification'!$AB$3,Costing!P32,IF('Front Specification'!P12='Front Specification'!$AC$3,Costing!P33,IF('Front Specification'!P12='Front Specification'!$AD$3,Costing!P34,IF('Front Specification'!P12='Front Specification'!$AE$3,Costing!P35,IF('Front Specification'!P12='Front Specification'!$AF$3,Costing!P36,IF('Front Specification'!P12='Front Specification'!$AG$3,Costing!P37,IF('Front Specification'!P12='Front Specification'!$AH$3,Costing!P38,0)))))))</f>
        <v>0</v>
      </c>
      <c r="Q39" s="88">
        <f>IF('Front Specification'!Q12='Front Specification'!$AB$3,Costing!Q32,IF('Front Specification'!Q12='Front Specification'!$AC$3,Costing!Q33,IF('Front Specification'!Q12='Front Specification'!$AD$3,Costing!Q34,IF('Front Specification'!Q12='Front Specification'!$AE$3,Costing!Q35,IF('Front Specification'!Q12='Front Specification'!$AF$3,Costing!Q36,IF('Front Specification'!Q12='Front Specification'!$AG$3,Costing!Q37,IF('Front Specification'!Q12='Front Specification'!$AH$3,Costing!Q38,0)))))))</f>
        <v>0</v>
      </c>
      <c r="R39" s="88">
        <f>IF('Front Specification'!R12='Front Specification'!$AB$3,Costing!R32,IF('Front Specification'!R12='Front Specification'!$AC$3,Costing!R33,IF('Front Specification'!R12='Front Specification'!$AD$3,Costing!R34,IF('Front Specification'!R12='Front Specification'!$AE$3,Costing!R35,IF('Front Specification'!R12='Front Specification'!$AF$3,Costing!R36,IF('Front Specification'!R12='Front Specification'!$AG$3,Costing!R37,IF('Front Specification'!R12='Front Specification'!$AH$3,Costing!R38,0)))))))</f>
        <v>0</v>
      </c>
      <c r="S39" s="88">
        <f>IF('Front Specification'!S12='Front Specification'!$AB$3,Costing!S32,IF('Front Specification'!S12='Front Specification'!$AC$3,Costing!S33,IF('Front Specification'!S12='Front Specification'!$AD$3,Costing!S34,IF('Front Specification'!S12='Front Specification'!$AE$3,Costing!S35,IF('Front Specification'!S12='Front Specification'!$AF$3,Costing!S36,IF('Front Specification'!S12='Front Specification'!$AG$3,Costing!S37,IF('Front Specification'!S12='Front Specification'!$AH$3,Costing!S38,0)))))))</f>
        <v>0</v>
      </c>
      <c r="T39" s="88">
        <f>IF('Front Specification'!T12='Front Specification'!$AB$3,Costing!T32,IF('Front Specification'!T12='Front Specification'!$AC$3,Costing!T33,IF('Front Specification'!T12='Front Specification'!$AD$3,Costing!T34,IF('Front Specification'!T12='Front Specification'!$AE$3,Costing!T35,IF('Front Specification'!T12='Front Specification'!$AF$3,Costing!T36,IF('Front Specification'!T12='Front Specification'!$AG$3,Costing!T37,IF('Front Specification'!T12='Front Specification'!$AH$3,Costing!T38,0)))))))</f>
        <v>0</v>
      </c>
      <c r="U39" s="88">
        <f>IF('Front Specification'!U12='Front Specification'!$AB$3,Costing!U32,IF('Front Specification'!U12='Front Specification'!$AC$3,Costing!U33,IF('Front Specification'!U12='Front Specification'!$AD$3,Costing!U34,IF('Front Specification'!U12='Front Specification'!$AE$3,Costing!U35,IF('Front Specification'!U12='Front Specification'!$AF$3,Costing!U36,IF('Front Specification'!U12='Front Specification'!$AG$3,Costing!U37,IF('Front Specification'!U12='Front Specification'!$AH$3,Costing!U38,0)))))))</f>
        <v>0</v>
      </c>
      <c r="V39" s="88">
        <f>IF('Front Specification'!V12='Front Specification'!$AB$3,Costing!V32,IF('Front Specification'!V12='Front Specification'!$AC$3,Costing!V33,IF('Front Specification'!V12='Front Specification'!$AD$3,Costing!V34,IF('Front Specification'!V12='Front Specification'!$AE$3,Costing!V35,IF('Front Specification'!V12='Front Specification'!$AF$3,Costing!V36,IF('Front Specification'!V12='Front Specification'!$AG$3,Costing!V37,IF('Front Specification'!V12='Front Specification'!$AH$3,Costing!V38,0)))))))</f>
        <v>0</v>
      </c>
    </row>
    <row r="40" spans="2:22" hidden="1" x14ac:dyDescent="0.3">
      <c r="B40" s="1" t="s">
        <v>187</v>
      </c>
      <c r="C40" s="88">
        <f>IF('Front Specification'!C18='Front Specification'!$AC$14,'Insert and Handle Options'!$C7,IF('Front Specification'!C18='Front Specification'!$AD$14,'Insert and Handle Options'!$C17,IF('Front Specification'!C18='Front Specification'!$AE$14,'Insert and Handle Options'!$C17,IF('Front Specification'!C18='Front Specification'!$AF$14,'Insert and Handle Options'!$C27,IF('Front Specification'!C18='Front Specification'!$AG$14,'Insert and Handle Options'!$C37,IF('Front Specification'!C18='Front Specification'!$AH$14,'Insert and Handle Options'!$C47,IF('Front Specification'!C18='Front Specification'!$AI$14,'Insert and Handle Options'!$C56,C41)))))))</f>
        <v>0</v>
      </c>
      <c r="D40" s="88">
        <f>IF('Front Specification'!D18='Front Specification'!$AC$14,'Insert and Handle Options'!$C7,IF('Front Specification'!D18='Front Specification'!$AD$14,'Insert and Handle Options'!$C17,IF('Front Specification'!D18='Front Specification'!$AE$14,'Insert and Handle Options'!$C17,IF('Front Specification'!D18='Front Specification'!$AF$14,'Insert and Handle Options'!$C27,IF('Front Specification'!D18='Front Specification'!$AG$14,'Insert and Handle Options'!$C37,IF('Front Specification'!D18='Front Specification'!$AH$14,'Insert and Handle Options'!$C47,IF('Front Specification'!D18='Front Specification'!$AI$14,'Insert and Handle Options'!$C56,D41)))))))</f>
        <v>0</v>
      </c>
      <c r="E40" s="88">
        <f>IF('Front Specification'!E18='Front Specification'!$AC$14,'Insert and Handle Options'!$C7,IF('Front Specification'!E18='Front Specification'!$AD$14,'Insert and Handle Options'!$C17,IF('Front Specification'!E18='Front Specification'!$AE$14,'Insert and Handle Options'!$C17,IF('Front Specification'!E18='Front Specification'!$AF$14,'Insert and Handle Options'!$C27,IF('Front Specification'!E18='Front Specification'!$AG$14,'Insert and Handle Options'!$C37,IF('Front Specification'!E18='Front Specification'!$AH$14,'Insert and Handle Options'!$C47,IF('Front Specification'!E18='Front Specification'!$AI$14,'Insert and Handle Options'!$C56,E41)))))))</f>
        <v>0</v>
      </c>
      <c r="F40" s="88">
        <f>IF('Front Specification'!F18='Front Specification'!$AC$14,'Insert and Handle Options'!$C7,IF('Front Specification'!F18='Front Specification'!$AD$14,'Insert and Handle Options'!$C17,IF('Front Specification'!F18='Front Specification'!$AE$14,'Insert and Handle Options'!$C17,IF('Front Specification'!F18='Front Specification'!$AF$14,'Insert and Handle Options'!$C27,IF('Front Specification'!F18='Front Specification'!$AG$14,'Insert and Handle Options'!$C37,IF('Front Specification'!F18='Front Specification'!$AH$14,'Insert and Handle Options'!$C47,IF('Front Specification'!F18='Front Specification'!$AI$14,'Insert and Handle Options'!$C56,F41)))))))</f>
        <v>0</v>
      </c>
      <c r="G40" s="88">
        <f>IF('Front Specification'!G18='Front Specification'!$AC$14,'Insert and Handle Options'!$C7,IF('Front Specification'!G18='Front Specification'!$AD$14,'Insert and Handle Options'!$C17,IF('Front Specification'!G18='Front Specification'!$AE$14,'Insert and Handle Options'!$C17,IF('Front Specification'!G18='Front Specification'!$AF$14,'Insert and Handle Options'!$C27,IF('Front Specification'!G18='Front Specification'!$AG$14,'Insert and Handle Options'!$C37,IF('Front Specification'!G18='Front Specification'!$AH$14,'Insert and Handle Options'!$C47,IF('Front Specification'!G18='Front Specification'!$AI$14,'Insert and Handle Options'!$C56,G41)))))))</f>
        <v>0</v>
      </c>
      <c r="H40" s="88">
        <f>IF('Front Specification'!H18='Front Specification'!$AC$14,'Insert and Handle Options'!$C7,IF('Front Specification'!H18='Front Specification'!$AD$14,'Insert and Handle Options'!$C17,IF('Front Specification'!H18='Front Specification'!$AE$14,'Insert and Handle Options'!$C17,IF('Front Specification'!H18='Front Specification'!$AF$14,'Insert and Handle Options'!$C27,IF('Front Specification'!H18='Front Specification'!$AG$14,'Insert and Handle Options'!$C37,IF('Front Specification'!H18='Front Specification'!$AH$14,'Insert and Handle Options'!$C47,IF('Front Specification'!H18='Front Specification'!$AI$14,'Insert and Handle Options'!$C56,H41)))))))</f>
        <v>0</v>
      </c>
      <c r="I40" s="88">
        <f>IF('Front Specification'!I18='Front Specification'!$AC$14,'Insert and Handle Options'!$C7,IF('Front Specification'!I18='Front Specification'!$AD$14,'Insert and Handle Options'!$C17,IF('Front Specification'!I18='Front Specification'!$AE$14,'Insert and Handle Options'!$C17,IF('Front Specification'!I18='Front Specification'!$AF$14,'Insert and Handle Options'!$C27,IF('Front Specification'!I18='Front Specification'!$AG$14,'Insert and Handle Options'!$C37,IF('Front Specification'!I18='Front Specification'!$AH$14,'Insert and Handle Options'!$C47,IF('Front Specification'!I18='Front Specification'!$AI$14,'Insert and Handle Options'!$C56,I41)))))))</f>
        <v>0</v>
      </c>
      <c r="J40" s="88">
        <f>IF('Front Specification'!J18='Front Specification'!$AC$14,'Insert and Handle Options'!$C7,IF('Front Specification'!J18='Front Specification'!$AD$14,'Insert and Handle Options'!$C17,IF('Front Specification'!J18='Front Specification'!$AE$14,'Insert and Handle Options'!$C17,IF('Front Specification'!J18='Front Specification'!$AF$14,'Insert and Handle Options'!$C27,IF('Front Specification'!J18='Front Specification'!$AG$14,'Insert and Handle Options'!$C37,IF('Front Specification'!J18='Front Specification'!$AH$14,'Insert and Handle Options'!$C47,IF('Front Specification'!J18='Front Specification'!$AI$14,'Insert and Handle Options'!$C56,J41)))))))</f>
        <v>0</v>
      </c>
      <c r="K40" s="88">
        <f>IF('Front Specification'!K18='Front Specification'!$AC$14,'Insert and Handle Options'!$C7,IF('Front Specification'!K18='Front Specification'!$AD$14,'Insert and Handle Options'!$C17,IF('Front Specification'!K18='Front Specification'!$AE$14,'Insert and Handle Options'!$C17,IF('Front Specification'!K18='Front Specification'!$AF$14,'Insert and Handle Options'!$C27,IF('Front Specification'!K18='Front Specification'!$AG$14,'Insert and Handle Options'!$C37,IF('Front Specification'!K18='Front Specification'!$AH$14,'Insert and Handle Options'!$C47,IF('Front Specification'!K18='Front Specification'!$AI$14,'Insert and Handle Options'!$C56,K41)))))))</f>
        <v>0</v>
      </c>
      <c r="L40" s="88">
        <f>IF('Front Specification'!L18='Front Specification'!$AC$14,'Insert and Handle Options'!$C7,IF('Front Specification'!L18='Front Specification'!$AD$14,'Insert and Handle Options'!$C17,IF('Front Specification'!L18='Front Specification'!$AE$14,'Insert and Handle Options'!$C17,IF('Front Specification'!L18='Front Specification'!$AF$14,'Insert and Handle Options'!$C27,IF('Front Specification'!L18='Front Specification'!$AG$14,'Insert and Handle Options'!$C37,IF('Front Specification'!L18='Front Specification'!$AH$14,'Insert and Handle Options'!$C47,IF('Front Specification'!L18='Front Specification'!$AI$14,'Insert and Handle Options'!$C56,L41)))))))</f>
        <v>0</v>
      </c>
      <c r="M40" s="88">
        <f>IF('Front Specification'!M18='Front Specification'!$AC$14,'Insert and Handle Options'!$C7,IF('Front Specification'!M18='Front Specification'!$AD$14,'Insert and Handle Options'!$C17,IF('Front Specification'!M18='Front Specification'!$AE$14,'Insert and Handle Options'!$C17,IF('Front Specification'!M18='Front Specification'!$AF$14,'Insert and Handle Options'!$C27,IF('Front Specification'!M18='Front Specification'!$AG$14,'Insert and Handle Options'!$C37,IF('Front Specification'!M18='Front Specification'!$AH$14,'Insert and Handle Options'!$C47,IF('Front Specification'!M18='Front Specification'!$AI$14,'Insert and Handle Options'!$C56,M41)))))))</f>
        <v>0</v>
      </c>
      <c r="N40" s="88">
        <f>IF('Front Specification'!N18='Front Specification'!$AC$14,'Insert and Handle Options'!$C7,IF('Front Specification'!N18='Front Specification'!$AD$14,'Insert and Handle Options'!$C17,IF('Front Specification'!N18='Front Specification'!$AE$14,'Insert and Handle Options'!$C17,IF('Front Specification'!N18='Front Specification'!$AF$14,'Insert and Handle Options'!$C27,IF('Front Specification'!N18='Front Specification'!$AG$14,'Insert and Handle Options'!$C37,IF('Front Specification'!N18='Front Specification'!$AH$14,'Insert and Handle Options'!$C47,IF('Front Specification'!N18='Front Specification'!$AI$14,'Insert and Handle Options'!$C56,N41)))))))</f>
        <v>0</v>
      </c>
      <c r="O40" s="88">
        <f>IF('Front Specification'!O18='Front Specification'!$AC$14,'Insert and Handle Options'!$C7,IF('Front Specification'!O18='Front Specification'!$AD$14,'Insert and Handle Options'!$C17,IF('Front Specification'!O18='Front Specification'!$AE$14,'Insert and Handle Options'!$C17,IF('Front Specification'!O18='Front Specification'!$AF$14,'Insert and Handle Options'!$C27,IF('Front Specification'!O18='Front Specification'!$AG$14,'Insert and Handle Options'!$C37,IF('Front Specification'!O18='Front Specification'!$AH$14,'Insert and Handle Options'!$C47,IF('Front Specification'!O18='Front Specification'!$AI$14,'Insert and Handle Options'!$C56,O41)))))))</f>
        <v>0</v>
      </c>
      <c r="P40" s="88">
        <f>IF('Front Specification'!P18='Front Specification'!$AC$14,'Insert and Handle Options'!$C7,IF('Front Specification'!P18='Front Specification'!$AD$14,'Insert and Handle Options'!$C17,IF('Front Specification'!P18='Front Specification'!$AE$14,'Insert and Handle Options'!$C17,IF('Front Specification'!P18='Front Specification'!$AF$14,'Insert and Handle Options'!$C27,IF('Front Specification'!P18='Front Specification'!$AG$14,'Insert and Handle Options'!$C37,IF('Front Specification'!P18='Front Specification'!$AH$14,'Insert and Handle Options'!$C47,IF('Front Specification'!P18='Front Specification'!$AI$14,'Insert and Handle Options'!$C56,P41)))))))</f>
        <v>0</v>
      </c>
      <c r="Q40" s="88">
        <f>IF('Front Specification'!Q18='Front Specification'!$AC$14,'Insert and Handle Options'!$C7,IF('Front Specification'!Q18='Front Specification'!$AD$14,'Insert and Handle Options'!$C17,IF('Front Specification'!Q18='Front Specification'!$AE$14,'Insert and Handle Options'!$C17,IF('Front Specification'!Q18='Front Specification'!$AF$14,'Insert and Handle Options'!$C27,IF('Front Specification'!Q18='Front Specification'!$AG$14,'Insert and Handle Options'!$C37,IF('Front Specification'!Q18='Front Specification'!$AH$14,'Insert and Handle Options'!$C47,IF('Front Specification'!Q18='Front Specification'!$AI$14,'Insert and Handle Options'!$C56,Q41)))))))</f>
        <v>0</v>
      </c>
      <c r="R40" s="88">
        <f>IF('Front Specification'!R18='Front Specification'!$AC$14,'Insert and Handle Options'!$C7,IF('Front Specification'!R18='Front Specification'!$AD$14,'Insert and Handle Options'!$C17,IF('Front Specification'!R18='Front Specification'!$AE$14,'Insert and Handle Options'!$C17,IF('Front Specification'!R18='Front Specification'!$AF$14,'Insert and Handle Options'!$C27,IF('Front Specification'!R18='Front Specification'!$AG$14,'Insert and Handle Options'!$C37,IF('Front Specification'!R18='Front Specification'!$AH$14,'Insert and Handle Options'!$C47,IF('Front Specification'!R18='Front Specification'!$AI$14,'Insert and Handle Options'!$C56,R41)))))))</f>
        <v>0</v>
      </c>
      <c r="S40" s="88">
        <f>IF('Front Specification'!S18='Front Specification'!$AC$14,'Insert and Handle Options'!$C7,IF('Front Specification'!S18='Front Specification'!$AD$14,'Insert and Handle Options'!$C17,IF('Front Specification'!S18='Front Specification'!$AE$14,'Insert and Handle Options'!$C17,IF('Front Specification'!S18='Front Specification'!$AF$14,'Insert and Handle Options'!$C27,IF('Front Specification'!S18='Front Specification'!$AG$14,'Insert and Handle Options'!$C37,IF('Front Specification'!S18='Front Specification'!$AH$14,'Insert and Handle Options'!$C47,IF('Front Specification'!S18='Front Specification'!$AI$14,'Insert and Handle Options'!$C56,S41)))))))</f>
        <v>0</v>
      </c>
      <c r="T40" s="88">
        <f>IF('Front Specification'!T18='Front Specification'!$AC$14,'Insert and Handle Options'!$C7,IF('Front Specification'!T18='Front Specification'!$AD$14,'Insert and Handle Options'!$C17,IF('Front Specification'!T18='Front Specification'!$AE$14,'Insert and Handle Options'!$C17,IF('Front Specification'!T18='Front Specification'!$AF$14,'Insert and Handle Options'!$C27,IF('Front Specification'!T18='Front Specification'!$AG$14,'Insert and Handle Options'!$C37,IF('Front Specification'!T18='Front Specification'!$AH$14,'Insert and Handle Options'!$C47,IF('Front Specification'!T18='Front Specification'!$AI$14,'Insert and Handle Options'!$C56,T41)))))))</f>
        <v>0</v>
      </c>
      <c r="U40" s="88">
        <f>IF('Front Specification'!U18='Front Specification'!$AC$14,'Insert and Handle Options'!$C7,IF('Front Specification'!U18='Front Specification'!$AD$14,'Insert and Handle Options'!$C17,IF('Front Specification'!U18='Front Specification'!$AE$14,'Insert and Handle Options'!$C17,IF('Front Specification'!U18='Front Specification'!$AF$14,'Insert and Handle Options'!$C27,IF('Front Specification'!U18='Front Specification'!$AG$14,'Insert and Handle Options'!$C37,IF('Front Specification'!U18='Front Specification'!$AH$14,'Insert and Handle Options'!$C47,IF('Front Specification'!U18='Front Specification'!$AI$14,'Insert and Handle Options'!$C56,U41)))))))</f>
        <v>0</v>
      </c>
      <c r="V40" s="88">
        <f>IF('Front Specification'!V18='Front Specification'!$AC$14,'Insert and Handle Options'!$C7,IF('Front Specification'!V18='Front Specification'!$AD$14,'Insert and Handle Options'!$C17,IF('Front Specification'!V18='Front Specification'!$AE$14,'Insert and Handle Options'!$C17,IF('Front Specification'!V18='Front Specification'!$AF$14,'Insert and Handle Options'!$C27,IF('Front Specification'!V18='Front Specification'!$AG$14,'Insert and Handle Options'!$C37,IF('Front Specification'!V18='Front Specification'!$AH$14,'Insert and Handle Options'!$C47,IF('Front Specification'!V18='Front Specification'!$AI$14,'Insert and Handle Options'!$C56,V41)))))))</f>
        <v>0</v>
      </c>
    </row>
    <row r="41" spans="2:22" hidden="1" x14ac:dyDescent="0.3">
      <c r="B41" s="1" t="s">
        <v>188</v>
      </c>
      <c r="C41" s="88">
        <f>IF('Front Specification'!C18='Front Specification'!$AJ$14,'Insert and Handle Options'!$C65,IF('Front Specification'!C18='Front Specification'!$AK$14,'Insert and Handle Options'!$C89,IF('Front Specification'!C18='Front Specification'!$AL$14,'Insert and Handle Options'!$C98,IF('Front Specification'!C18='Front Specification'!$AM$14,'Insert and Handle Options'!$C107,IF('Front Specification'!C18='Front Specification'!$AN$14,'Insert and Handle Options'!$C116,IF('Front Specification'!C18='Front Specification'!$AO$14,'Insert and Handle Options'!$C125,IF('Front Specification'!C18='Front Specification'!$AP$14,'Insert and Handle Options'!$C135,0)))))))</f>
        <v>0</v>
      </c>
      <c r="D41" s="88">
        <f>IF('Front Specification'!D18='Front Specification'!$AJ$14,'Insert and Handle Options'!$C65,IF('Front Specification'!D18='Front Specification'!$AK$14,'Insert and Handle Options'!$C89,IF('Front Specification'!D18='Front Specification'!$AL$14,'Insert and Handle Options'!$C98,IF('Front Specification'!D18='Front Specification'!$AM$14,'Insert and Handle Options'!$C107,IF('Front Specification'!D18='Front Specification'!$AN$14,'Insert and Handle Options'!$C116,IF('Front Specification'!D18='Front Specification'!$AO$14,'Insert and Handle Options'!$C125,IF('Front Specification'!D18='Front Specification'!$AP$14,'Insert and Handle Options'!$C135,0)))))))</f>
        <v>0</v>
      </c>
      <c r="E41" s="88">
        <f>IF('Front Specification'!E18='Front Specification'!$AJ$14,'Insert and Handle Options'!$C65,IF('Front Specification'!E18='Front Specification'!$AK$14,'Insert and Handle Options'!$C89,IF('Front Specification'!E18='Front Specification'!$AL$14,'Insert and Handle Options'!$C98,IF('Front Specification'!E18='Front Specification'!$AM$14,'Insert and Handle Options'!$C107,IF('Front Specification'!E18='Front Specification'!$AN$14,'Insert and Handle Options'!$C116,IF('Front Specification'!E18='Front Specification'!$AO$14,'Insert and Handle Options'!$C125,IF('Front Specification'!E18='Front Specification'!$AP$14,'Insert and Handle Options'!$C135,0)))))))</f>
        <v>0</v>
      </c>
      <c r="F41" s="88">
        <f>IF('Front Specification'!F18='Front Specification'!$AJ$14,'Insert and Handle Options'!$C65,IF('Front Specification'!F18='Front Specification'!$AK$14,'Insert and Handle Options'!$C89,IF('Front Specification'!F18='Front Specification'!$AL$14,'Insert and Handle Options'!$C98,IF('Front Specification'!F18='Front Specification'!$AM$14,'Insert and Handle Options'!$C107,IF('Front Specification'!F18='Front Specification'!$AN$14,'Insert and Handle Options'!$C116,IF('Front Specification'!F18='Front Specification'!$AO$14,'Insert and Handle Options'!$C125,IF('Front Specification'!F18='Front Specification'!$AP$14,'Insert and Handle Options'!$C135,0)))))))</f>
        <v>0</v>
      </c>
      <c r="G41" s="88">
        <f>IF('Front Specification'!G18='Front Specification'!$AJ$14,'Insert and Handle Options'!$C65,IF('Front Specification'!G18='Front Specification'!$AK$14,'Insert and Handle Options'!$C89,IF('Front Specification'!G18='Front Specification'!$AL$14,'Insert and Handle Options'!$C98,IF('Front Specification'!G18='Front Specification'!$AM$14,'Insert and Handle Options'!$C107,IF('Front Specification'!G18='Front Specification'!$AN$14,'Insert and Handle Options'!$C116,IF('Front Specification'!G18='Front Specification'!$AO$14,'Insert and Handle Options'!$C125,IF('Front Specification'!G18='Front Specification'!$AP$14,'Insert and Handle Options'!$C135,0)))))))</f>
        <v>0</v>
      </c>
      <c r="H41" s="88">
        <f>IF('Front Specification'!H18='Front Specification'!$AJ$14,'Insert and Handle Options'!$C65,IF('Front Specification'!H18='Front Specification'!$AK$14,'Insert and Handle Options'!$C89,IF('Front Specification'!H18='Front Specification'!$AL$14,'Insert and Handle Options'!$C98,IF('Front Specification'!H18='Front Specification'!$AM$14,'Insert and Handle Options'!$C107,IF('Front Specification'!H18='Front Specification'!$AN$14,'Insert and Handle Options'!$C116,IF('Front Specification'!H18='Front Specification'!$AO$14,'Insert and Handle Options'!$C125,IF('Front Specification'!H18='Front Specification'!$AP$14,'Insert and Handle Options'!$C135,0)))))))</f>
        <v>0</v>
      </c>
      <c r="I41" s="88">
        <f>IF('Front Specification'!I18='Front Specification'!$AJ$14,'Insert and Handle Options'!$C65,IF('Front Specification'!I18='Front Specification'!$AK$14,'Insert and Handle Options'!$C89,IF('Front Specification'!I18='Front Specification'!$AL$14,'Insert and Handle Options'!$C98,IF('Front Specification'!I18='Front Specification'!$AM$14,'Insert and Handle Options'!$C107,IF('Front Specification'!I18='Front Specification'!$AN$14,'Insert and Handle Options'!$C116,IF('Front Specification'!I18='Front Specification'!$AO$14,'Insert and Handle Options'!$C125,IF('Front Specification'!I18='Front Specification'!$AP$14,'Insert and Handle Options'!$C135,0)))))))</f>
        <v>0</v>
      </c>
      <c r="J41" s="88">
        <f>IF('Front Specification'!J18='Front Specification'!$AJ$14,'Insert and Handle Options'!$C65,IF('Front Specification'!J18='Front Specification'!$AK$14,'Insert and Handle Options'!$C89,IF('Front Specification'!J18='Front Specification'!$AL$14,'Insert and Handle Options'!$C98,IF('Front Specification'!J18='Front Specification'!$AM$14,'Insert and Handle Options'!$C107,IF('Front Specification'!J18='Front Specification'!$AN$14,'Insert and Handle Options'!$C116,IF('Front Specification'!J18='Front Specification'!$AO$14,'Insert and Handle Options'!$C125,IF('Front Specification'!J18='Front Specification'!$AP$14,'Insert and Handle Options'!$C135,0)))))))</f>
        <v>0</v>
      </c>
      <c r="K41" s="88">
        <f>IF('Front Specification'!K18='Front Specification'!$AJ$14,'Insert and Handle Options'!$C65,IF('Front Specification'!K18='Front Specification'!$AK$14,'Insert and Handle Options'!$C89,IF('Front Specification'!K18='Front Specification'!$AL$14,'Insert and Handle Options'!$C98,IF('Front Specification'!K18='Front Specification'!$AM$14,'Insert and Handle Options'!$C107,IF('Front Specification'!K18='Front Specification'!$AN$14,'Insert and Handle Options'!$C116,IF('Front Specification'!K18='Front Specification'!$AO$14,'Insert and Handle Options'!$C125,IF('Front Specification'!K18='Front Specification'!$AP$14,'Insert and Handle Options'!$C135,0)))))))</f>
        <v>0</v>
      </c>
      <c r="L41" s="88">
        <f>IF('Front Specification'!L18='Front Specification'!$AJ$14,'Insert and Handle Options'!$C65,IF('Front Specification'!L18='Front Specification'!$AK$14,'Insert and Handle Options'!$C89,IF('Front Specification'!L18='Front Specification'!$AL$14,'Insert and Handle Options'!$C98,IF('Front Specification'!L18='Front Specification'!$AM$14,'Insert and Handle Options'!$C107,IF('Front Specification'!L18='Front Specification'!$AN$14,'Insert and Handle Options'!$C116,IF('Front Specification'!L18='Front Specification'!$AO$14,'Insert and Handle Options'!$C125,IF('Front Specification'!L18='Front Specification'!$AP$14,'Insert and Handle Options'!$C135,0)))))))</f>
        <v>0</v>
      </c>
      <c r="M41" s="88">
        <f>IF('Front Specification'!M18='Front Specification'!$AJ$14,'Insert and Handle Options'!$C65,IF('Front Specification'!M18='Front Specification'!$AK$14,'Insert and Handle Options'!$C89,IF('Front Specification'!M18='Front Specification'!$AL$14,'Insert and Handle Options'!$C98,IF('Front Specification'!M18='Front Specification'!$AM$14,'Insert and Handle Options'!$C107,IF('Front Specification'!M18='Front Specification'!$AN$14,'Insert and Handle Options'!$C116,IF('Front Specification'!M18='Front Specification'!$AO$14,'Insert and Handle Options'!$C125,IF('Front Specification'!M18='Front Specification'!$AP$14,'Insert and Handle Options'!$C135,0)))))))</f>
        <v>0</v>
      </c>
      <c r="N41" s="88">
        <f>IF('Front Specification'!N18='Front Specification'!$AJ$14,'Insert and Handle Options'!$C65,IF('Front Specification'!N18='Front Specification'!$AK$14,'Insert and Handle Options'!$C89,IF('Front Specification'!N18='Front Specification'!$AL$14,'Insert and Handle Options'!$C98,IF('Front Specification'!N18='Front Specification'!$AM$14,'Insert and Handle Options'!$C107,IF('Front Specification'!N18='Front Specification'!$AN$14,'Insert and Handle Options'!$C116,IF('Front Specification'!N18='Front Specification'!$AO$14,'Insert and Handle Options'!$C125,IF('Front Specification'!N18='Front Specification'!$AP$14,'Insert and Handle Options'!$C135,0)))))))</f>
        <v>0</v>
      </c>
      <c r="O41" s="88">
        <f>IF('Front Specification'!O18='Front Specification'!$AJ$14,'Insert and Handle Options'!$C65,IF('Front Specification'!O18='Front Specification'!$AK$14,'Insert and Handle Options'!$C89,IF('Front Specification'!O18='Front Specification'!$AL$14,'Insert and Handle Options'!$C98,IF('Front Specification'!O18='Front Specification'!$AM$14,'Insert and Handle Options'!$C107,IF('Front Specification'!O18='Front Specification'!$AN$14,'Insert and Handle Options'!$C116,IF('Front Specification'!O18='Front Specification'!$AO$14,'Insert and Handle Options'!$C125,IF('Front Specification'!O18='Front Specification'!$AP$14,'Insert and Handle Options'!$C135,0)))))))</f>
        <v>0</v>
      </c>
      <c r="P41" s="88">
        <f>IF('Front Specification'!P18='Front Specification'!$AJ$14,'Insert and Handle Options'!$C65,IF('Front Specification'!P18='Front Specification'!$AK$14,'Insert and Handle Options'!$C89,IF('Front Specification'!P18='Front Specification'!$AL$14,'Insert and Handle Options'!$C98,IF('Front Specification'!P18='Front Specification'!$AM$14,'Insert and Handle Options'!$C107,IF('Front Specification'!P18='Front Specification'!$AN$14,'Insert and Handle Options'!$C116,IF('Front Specification'!P18='Front Specification'!$AO$14,'Insert and Handle Options'!$C125,IF('Front Specification'!P18='Front Specification'!$AP$14,'Insert and Handle Options'!$C135,0)))))))</f>
        <v>0</v>
      </c>
      <c r="Q41" s="88">
        <f>IF('Front Specification'!Q18='Front Specification'!$AJ$14,'Insert and Handle Options'!$C65,IF('Front Specification'!Q18='Front Specification'!$AK$14,'Insert and Handle Options'!$C89,IF('Front Specification'!Q18='Front Specification'!$AL$14,'Insert and Handle Options'!$C98,IF('Front Specification'!Q18='Front Specification'!$AM$14,'Insert and Handle Options'!$C107,IF('Front Specification'!Q18='Front Specification'!$AN$14,'Insert and Handle Options'!$C116,IF('Front Specification'!Q18='Front Specification'!$AO$14,'Insert and Handle Options'!$C125,IF('Front Specification'!Q18='Front Specification'!$AP$14,'Insert and Handle Options'!$C135,0)))))))</f>
        <v>0</v>
      </c>
      <c r="R41" s="88">
        <f>IF('Front Specification'!R18='Front Specification'!$AJ$14,'Insert and Handle Options'!$C65,IF('Front Specification'!R18='Front Specification'!$AK$14,'Insert and Handle Options'!$C89,IF('Front Specification'!R18='Front Specification'!$AL$14,'Insert and Handle Options'!$C98,IF('Front Specification'!R18='Front Specification'!$AM$14,'Insert and Handle Options'!$C107,IF('Front Specification'!R18='Front Specification'!$AN$14,'Insert and Handle Options'!$C116,IF('Front Specification'!R18='Front Specification'!$AO$14,'Insert and Handle Options'!$C125,IF('Front Specification'!R18='Front Specification'!$AP$14,'Insert and Handle Options'!$C135,0)))))))</f>
        <v>0</v>
      </c>
      <c r="S41" s="88">
        <f>IF('Front Specification'!S18='Front Specification'!$AJ$14,'Insert and Handle Options'!$C65,IF('Front Specification'!S18='Front Specification'!$AK$14,'Insert and Handle Options'!$C89,IF('Front Specification'!S18='Front Specification'!$AL$14,'Insert and Handle Options'!$C98,IF('Front Specification'!S18='Front Specification'!$AM$14,'Insert and Handle Options'!$C107,IF('Front Specification'!S18='Front Specification'!$AN$14,'Insert and Handle Options'!$C116,IF('Front Specification'!S18='Front Specification'!$AO$14,'Insert and Handle Options'!$C125,IF('Front Specification'!S18='Front Specification'!$AP$14,'Insert and Handle Options'!$C135,0)))))))</f>
        <v>0</v>
      </c>
      <c r="T41" s="88">
        <f>IF('Front Specification'!T18='Front Specification'!$AJ$14,'Insert and Handle Options'!$C65,IF('Front Specification'!T18='Front Specification'!$AK$14,'Insert and Handle Options'!$C89,IF('Front Specification'!T18='Front Specification'!$AL$14,'Insert and Handle Options'!$C98,IF('Front Specification'!T18='Front Specification'!$AM$14,'Insert and Handle Options'!$C107,IF('Front Specification'!T18='Front Specification'!$AN$14,'Insert and Handle Options'!$C116,IF('Front Specification'!T18='Front Specification'!$AO$14,'Insert and Handle Options'!$C125,IF('Front Specification'!T18='Front Specification'!$AP$14,'Insert and Handle Options'!$C135,0)))))))</f>
        <v>0</v>
      </c>
      <c r="U41" s="88">
        <f>IF('Front Specification'!U18='Front Specification'!$AJ$14,'Insert and Handle Options'!$C65,IF('Front Specification'!U18='Front Specification'!$AK$14,'Insert and Handle Options'!$C89,IF('Front Specification'!U18='Front Specification'!$AL$14,'Insert and Handle Options'!$C98,IF('Front Specification'!U18='Front Specification'!$AM$14,'Insert and Handle Options'!$C107,IF('Front Specification'!U18='Front Specification'!$AN$14,'Insert and Handle Options'!$C116,IF('Front Specification'!U18='Front Specification'!$AO$14,'Insert and Handle Options'!$C125,IF('Front Specification'!U18='Front Specification'!$AP$14,'Insert and Handle Options'!$C135,0)))))))</f>
        <v>0</v>
      </c>
      <c r="V41" s="88">
        <f>IF('Front Specification'!V18='Front Specification'!$AJ$14,'Insert and Handle Options'!$C65,IF('Front Specification'!V18='Front Specification'!$AK$14,'Insert and Handle Options'!$C89,IF('Front Specification'!V18='Front Specification'!$AL$14,'Insert and Handle Options'!$C98,IF('Front Specification'!V18='Front Specification'!$AM$14,'Insert and Handle Options'!$C107,IF('Front Specification'!V18='Front Specification'!$AN$14,'Insert and Handle Options'!$C116,IF('Front Specification'!V18='Front Specification'!$AO$14,'Insert and Handle Options'!$C125,IF('Front Specification'!V18='Front Specification'!$AP$14,'Insert and Handle Options'!$C135,0)))))))</f>
        <v>0</v>
      </c>
    </row>
    <row r="42" spans="2:22" hidden="1" x14ac:dyDescent="0.3">
      <c r="B42" s="1" t="s">
        <v>189</v>
      </c>
      <c r="C42" s="88">
        <f>IF('Front Specification'!C25="Yes", ('Front Specification'!C6*'Front Specification'!C7/1000000)*'Insert and Handle Options'!$C180,0)</f>
        <v>0</v>
      </c>
      <c r="D42" s="88">
        <f>IF('Front Specification'!D25="Yes", ('Front Specification'!D6*'Front Specification'!D7/1000000)*'Insert and Handle Options'!$C180,0)</f>
        <v>0</v>
      </c>
      <c r="E42" s="88">
        <f>IF('Front Specification'!E25="Yes", ('Front Specification'!E6*'Front Specification'!E7/1000000)*'Insert and Handle Options'!$C180,0)</f>
        <v>0</v>
      </c>
      <c r="F42" s="88">
        <f>IF('Front Specification'!F25="Yes", ('Front Specification'!F6*'Front Specification'!F7/1000000)*'Insert and Handle Options'!$C180,0)</f>
        <v>0</v>
      </c>
      <c r="G42" s="88">
        <f>IF('Front Specification'!G25="Yes", ('Front Specification'!G6*'Front Specification'!G7/1000000)*'Insert and Handle Options'!$C180,0)</f>
        <v>0</v>
      </c>
      <c r="H42" s="88">
        <f>IF('Front Specification'!H25="Yes", ('Front Specification'!H6*'Front Specification'!H7/1000000)*'Insert and Handle Options'!$C180,0)</f>
        <v>0</v>
      </c>
      <c r="I42" s="88">
        <f>IF('Front Specification'!I25="Yes", ('Front Specification'!I6*'Front Specification'!I7/1000000)*'Insert and Handle Options'!$C180,0)</f>
        <v>0</v>
      </c>
      <c r="J42" s="88">
        <f>IF('Front Specification'!J25="Yes", ('Front Specification'!J6*'Front Specification'!J7/1000000)*'Insert and Handle Options'!$C180,0)</f>
        <v>0</v>
      </c>
      <c r="K42" s="88">
        <f>IF('Front Specification'!K25="Yes", ('Front Specification'!K6*'Front Specification'!K7/1000000)*'Insert and Handle Options'!$C180,0)</f>
        <v>0</v>
      </c>
      <c r="L42" s="88">
        <f>IF('Front Specification'!L25="Yes", ('Front Specification'!L6*'Front Specification'!L7/1000000)*'Insert and Handle Options'!$C180,0)</f>
        <v>0</v>
      </c>
      <c r="M42" s="88">
        <f>IF('Front Specification'!M25="Yes", ('Front Specification'!M6*'Front Specification'!M7/1000000)*'Insert and Handle Options'!$C180,0)</f>
        <v>0</v>
      </c>
      <c r="N42" s="88">
        <f>IF('Front Specification'!N25="Yes", ('Front Specification'!N6*'Front Specification'!N7/1000000)*'Insert and Handle Options'!$C180,0)</f>
        <v>0</v>
      </c>
      <c r="O42" s="88">
        <f>IF('Front Specification'!O25="Yes", ('Front Specification'!O6*'Front Specification'!O7/1000000)*'Insert and Handle Options'!$C180,0)</f>
        <v>0</v>
      </c>
      <c r="P42" s="88">
        <f>IF('Front Specification'!P25="Yes", ('Front Specification'!P6*'Front Specification'!P7/1000000)*'Insert and Handle Options'!$C180,0)</f>
        <v>0</v>
      </c>
      <c r="Q42" s="88">
        <f>IF('Front Specification'!Q25="Yes", ('Front Specification'!Q6*'Front Specification'!Q7/1000000)*'Insert and Handle Options'!$C180,0)</f>
        <v>0</v>
      </c>
      <c r="R42" s="88">
        <f>IF('Front Specification'!R25="Yes", ('Front Specification'!R6*'Front Specification'!R7/1000000)*'Insert and Handle Options'!$C180,0)</f>
        <v>0</v>
      </c>
      <c r="S42" s="88">
        <f>IF('Front Specification'!S25="Yes", ('Front Specification'!S6*'Front Specification'!S7/1000000)*'Insert and Handle Options'!$C180,0)</f>
        <v>0</v>
      </c>
      <c r="T42" s="88">
        <f>IF('Front Specification'!T25="Yes", ('Front Specification'!T6*'Front Specification'!T7/1000000)*'Insert and Handle Options'!$C180,0)</f>
        <v>0</v>
      </c>
      <c r="U42" s="88">
        <f>IF('Front Specification'!U25="Yes", ('Front Specification'!U6*'Front Specification'!U7/1000000)*'Insert and Handle Options'!$C180,0)</f>
        <v>0</v>
      </c>
      <c r="V42" s="88">
        <f>IF('Front Specification'!V25="Yes", ('Front Specification'!V6*'Front Specification'!V7/1000000)*'Insert and Handle Options'!$C180,0)</f>
        <v>0</v>
      </c>
    </row>
    <row r="43" spans="2:22" hidden="1" x14ac:dyDescent="0.3">
      <c r="B43" s="1" t="s">
        <v>190</v>
      </c>
      <c r="C43" s="88">
        <f>IF(('Front Specification'!C6*'Front Specification'!C7/1000000)*'Insert and Handle Options'!$C180&gt;=('Insert and Handle Options'!$C180/4),('Front Specification'!C6*'Front Specification'!C7/1000000)*'Insert and Handle Options'!$C180,('Insert and Handle Options'!$C180/4))</f>
        <v>4.1050000000000004</v>
      </c>
      <c r="D43" s="88">
        <f>IF(('Front Specification'!D6*'Front Specification'!D7/1000000)*'Insert and Handle Options'!$C180&gt;=('Insert and Handle Options'!$C180/4),('Front Specification'!D6*'Front Specification'!D7/1000000)*'Insert and Handle Options'!$C180,('Insert and Handle Options'!$C180/4))</f>
        <v>4.1050000000000004</v>
      </c>
      <c r="E43" s="88">
        <f>IF(('Front Specification'!E6*'Front Specification'!E7/1000000)*'Insert and Handle Options'!$C180&gt;=('Insert and Handle Options'!$C180/4),('Front Specification'!E6*'Front Specification'!E7/1000000)*'Insert and Handle Options'!$C180,('Insert and Handle Options'!$C180/4))</f>
        <v>4.1050000000000004</v>
      </c>
      <c r="F43" s="88">
        <f>IF(('Front Specification'!F6*'Front Specification'!F7/1000000)*'Insert and Handle Options'!$C180&gt;=('Insert and Handle Options'!$C180/4),('Front Specification'!F6*'Front Specification'!F7/1000000)*'Insert and Handle Options'!$C180,('Insert and Handle Options'!$C180/4))</f>
        <v>4.1050000000000004</v>
      </c>
      <c r="G43" s="88">
        <f>IF(('Front Specification'!G6*'Front Specification'!G7/1000000)*'Insert and Handle Options'!$C180&gt;=('Insert and Handle Options'!$C180/4),('Front Specification'!G6*'Front Specification'!G7/1000000)*'Insert and Handle Options'!$C180,('Insert and Handle Options'!$C180/4))</f>
        <v>4.1050000000000004</v>
      </c>
      <c r="H43" s="88">
        <f>IF(('Front Specification'!H6*'Front Specification'!H7/1000000)*'Insert and Handle Options'!$C180&gt;=('Insert and Handle Options'!$C180/4),('Front Specification'!H6*'Front Specification'!H7/1000000)*'Insert and Handle Options'!$C180,('Insert and Handle Options'!$C180/4))</f>
        <v>4.1050000000000004</v>
      </c>
      <c r="I43" s="88">
        <f>IF(('Front Specification'!I6*'Front Specification'!I7/1000000)*'Insert and Handle Options'!$C180&gt;=('Insert and Handle Options'!$C180/4),('Front Specification'!I6*'Front Specification'!I7/1000000)*'Insert and Handle Options'!$C180,('Insert and Handle Options'!$C180/4))</f>
        <v>4.1050000000000004</v>
      </c>
      <c r="J43" s="88">
        <f>IF(('Front Specification'!J6*'Front Specification'!J7/1000000)*'Insert and Handle Options'!$C180&gt;=('Insert and Handle Options'!$C180/4),('Front Specification'!J6*'Front Specification'!J7/1000000)*'Insert and Handle Options'!$C180,('Insert and Handle Options'!$C180/4))</f>
        <v>4.1050000000000004</v>
      </c>
      <c r="K43" s="88">
        <f>IF(('Front Specification'!K6*'Front Specification'!K7/1000000)*'Insert and Handle Options'!$C180&gt;=('Insert and Handle Options'!$C180/4),('Front Specification'!K6*'Front Specification'!K7/1000000)*'Insert and Handle Options'!$C180,('Insert and Handle Options'!$C180/4))</f>
        <v>4.1050000000000004</v>
      </c>
      <c r="L43" s="88">
        <f>IF(('Front Specification'!L6*'Front Specification'!L7/1000000)*'Insert and Handle Options'!$C180&gt;=('Insert and Handle Options'!$C180/4),('Front Specification'!L6*'Front Specification'!L7/1000000)*'Insert and Handle Options'!$C180,('Insert and Handle Options'!$C180/4))</f>
        <v>4.1050000000000004</v>
      </c>
      <c r="M43" s="88">
        <f>IF(('Front Specification'!M6*'Front Specification'!M7/1000000)*'Insert and Handle Options'!$C180&gt;=('Insert and Handle Options'!$C180/4),('Front Specification'!M6*'Front Specification'!M7/1000000)*'Insert and Handle Options'!$C180,('Insert and Handle Options'!$C180/4))</f>
        <v>4.1050000000000004</v>
      </c>
      <c r="N43" s="88">
        <f>IF(('Front Specification'!N6*'Front Specification'!N7/1000000)*'Insert and Handle Options'!$C180&gt;=('Insert and Handle Options'!$C180/4),('Front Specification'!N6*'Front Specification'!N7/1000000)*'Insert and Handle Options'!$C180,('Insert and Handle Options'!$C180/4))</f>
        <v>4.1050000000000004</v>
      </c>
      <c r="O43" s="88">
        <f>IF(('Front Specification'!O6*'Front Specification'!O7/1000000)*'Insert and Handle Options'!$C180&gt;=('Insert and Handle Options'!$C180/4),('Front Specification'!O6*'Front Specification'!O7/1000000)*'Insert and Handle Options'!$C180,('Insert and Handle Options'!$C180/4))</f>
        <v>4.1050000000000004</v>
      </c>
      <c r="P43" s="88">
        <f>IF(('Front Specification'!P6*'Front Specification'!P7/1000000)*'Insert and Handle Options'!$C180&gt;=('Insert and Handle Options'!$C180/4),('Front Specification'!P6*'Front Specification'!P7/1000000)*'Insert and Handle Options'!$C180,('Insert and Handle Options'!$C180/4))</f>
        <v>4.1050000000000004</v>
      </c>
      <c r="Q43" s="88">
        <f>IF(('Front Specification'!Q6*'Front Specification'!Q7/1000000)*'Insert and Handle Options'!$C180&gt;=('Insert and Handle Options'!$C180/4),('Front Specification'!Q6*'Front Specification'!Q7/1000000)*'Insert and Handle Options'!$C180,('Insert and Handle Options'!$C180/4))</f>
        <v>4.1050000000000004</v>
      </c>
      <c r="R43" s="88">
        <f>IF(('Front Specification'!R6*'Front Specification'!R7/1000000)*'Insert and Handle Options'!$C180&gt;=('Insert and Handle Options'!$C180/4),('Front Specification'!R6*'Front Specification'!R7/1000000)*'Insert and Handle Options'!$C180,('Insert and Handle Options'!$C180/4))</f>
        <v>4.1050000000000004</v>
      </c>
      <c r="S43" s="88">
        <f>IF(('Front Specification'!S6*'Front Specification'!S7/1000000)*'Insert and Handle Options'!$C180&gt;=('Insert and Handle Options'!$C180/4),('Front Specification'!S6*'Front Specification'!S7/1000000)*'Insert and Handle Options'!$C180,('Insert and Handle Options'!$C180/4))</f>
        <v>4.1050000000000004</v>
      </c>
      <c r="T43" s="88">
        <f>IF(('Front Specification'!T6*'Front Specification'!T7/1000000)*'Insert and Handle Options'!$C180&gt;=('Insert and Handle Options'!$C180/4),('Front Specification'!T6*'Front Specification'!T7/1000000)*'Insert and Handle Options'!$C180,('Insert and Handle Options'!$C180/4))</f>
        <v>4.1050000000000004</v>
      </c>
      <c r="U43" s="88">
        <f>IF(('Front Specification'!U6*'Front Specification'!U7/1000000)*'Insert and Handle Options'!$C180&gt;=('Insert and Handle Options'!$C180/4),('Front Specification'!U6*'Front Specification'!U7/1000000)*'Insert and Handle Options'!$C180,('Insert and Handle Options'!$C180/4))</f>
        <v>4.1050000000000004</v>
      </c>
      <c r="V43" s="88">
        <f>IF(('Front Specification'!V6*'Front Specification'!V7/1000000)*'Insert and Handle Options'!$C180&gt;=('Insert and Handle Options'!$C180/4),('Front Specification'!V6*'Front Specification'!V7/1000000)*'Insert and Handle Options'!$C180,('Insert and Handle Options'!$C180/4))</f>
        <v>4.1050000000000004</v>
      </c>
    </row>
    <row r="44" spans="2:22" hidden="1" x14ac:dyDescent="0.3">
      <c r="B44" s="1" t="s">
        <v>235</v>
      </c>
      <c r="C44" s="88">
        <f>COUNTA('Front Specification'!C25)</f>
        <v>0</v>
      </c>
      <c r="D44" s="88">
        <f>COUNTA('Front Specification'!D25)</f>
        <v>0</v>
      </c>
      <c r="E44" s="88">
        <f>COUNTA('Front Specification'!E25)</f>
        <v>0</v>
      </c>
      <c r="F44" s="88">
        <f>COUNTA('Front Specification'!F25)</f>
        <v>0</v>
      </c>
      <c r="G44" s="88">
        <f>COUNTA('Front Specification'!G25)</f>
        <v>0</v>
      </c>
      <c r="H44" s="88">
        <f>COUNTA('Front Specification'!H25)</f>
        <v>0</v>
      </c>
      <c r="I44" s="88">
        <f>COUNTA('Front Specification'!I25)</f>
        <v>0</v>
      </c>
      <c r="J44" s="88">
        <f>COUNTA('Front Specification'!J25)</f>
        <v>0</v>
      </c>
      <c r="K44" s="88">
        <f>COUNTA('Front Specification'!K25)</f>
        <v>0</v>
      </c>
      <c r="L44" s="88">
        <f>COUNTA('Front Specification'!L25)</f>
        <v>0</v>
      </c>
      <c r="M44" s="88">
        <f>COUNTA('Front Specification'!M25)</f>
        <v>0</v>
      </c>
      <c r="N44" s="88">
        <f>COUNTA('Front Specification'!N25)</f>
        <v>0</v>
      </c>
      <c r="O44" s="88">
        <f>COUNTA('Front Specification'!O25)</f>
        <v>0</v>
      </c>
      <c r="P44" s="88">
        <f>COUNTA('Front Specification'!P25)</f>
        <v>0</v>
      </c>
      <c r="Q44" s="88">
        <f>COUNTA('Front Specification'!Q25)</f>
        <v>0</v>
      </c>
      <c r="R44" s="88">
        <f>COUNTA('Front Specification'!R25)</f>
        <v>0</v>
      </c>
      <c r="S44" s="88">
        <f>COUNTA('Front Specification'!S25)</f>
        <v>0</v>
      </c>
      <c r="T44" s="88">
        <f>COUNTA('Front Specification'!T25)</f>
        <v>0</v>
      </c>
      <c r="U44" s="88">
        <f>COUNTA('Front Specification'!U25)</f>
        <v>0</v>
      </c>
      <c r="V44" s="88">
        <f>COUNTA('Front Specification'!V25)</f>
        <v>0</v>
      </c>
    </row>
    <row r="45" spans="2:22" hidden="1" x14ac:dyDescent="0.3">
      <c r="B45" s="1" t="s">
        <v>192</v>
      </c>
      <c r="C45" s="88">
        <f>IF('Front Specification'!C22="Yes", ('Front Specification'!C6*'Front Specification'!C7/1000000)*'Insert and Handle Options'!$C183,0)</f>
        <v>0</v>
      </c>
      <c r="D45" s="88">
        <f>IF('Front Specification'!D22="Yes", ('Front Specification'!D6*'Front Specification'!D7/1000000)*'Insert and Handle Options'!$C183,0)</f>
        <v>0</v>
      </c>
      <c r="E45" s="88">
        <f>IF('Front Specification'!E22="Yes", ('Front Specification'!E6*'Front Specification'!E7/1000000)*'Insert and Handle Options'!$C183,0)</f>
        <v>0</v>
      </c>
      <c r="F45" s="88">
        <f>IF('Front Specification'!F22="Yes", ('Front Specification'!F6*'Front Specification'!F7/1000000)*'Insert and Handle Options'!$C183,0)</f>
        <v>0</v>
      </c>
      <c r="G45" s="88">
        <f>IF('Front Specification'!G22="Yes", ('Front Specification'!G6*'Front Specification'!G7/1000000)*'Insert and Handle Options'!$C183,0)</f>
        <v>0</v>
      </c>
      <c r="H45" s="88">
        <f>IF('Front Specification'!H22="Yes", ('Front Specification'!H6*'Front Specification'!H7/1000000)*'Insert and Handle Options'!$C183,0)</f>
        <v>0</v>
      </c>
      <c r="I45" s="88">
        <f>IF('Front Specification'!I22="Yes", ('Front Specification'!I6*'Front Specification'!I7/1000000)*'Insert and Handle Options'!$C183,0)</f>
        <v>0</v>
      </c>
      <c r="J45" s="88">
        <f>IF('Front Specification'!J22="Yes", ('Front Specification'!J6*'Front Specification'!J7/1000000)*'Insert and Handle Options'!$C183,0)</f>
        <v>0</v>
      </c>
      <c r="K45" s="88">
        <f>IF('Front Specification'!K22="Yes", ('Front Specification'!K6*'Front Specification'!K7/1000000)*'Insert and Handle Options'!$C183,0)</f>
        <v>0</v>
      </c>
      <c r="L45" s="88">
        <f>IF('Front Specification'!L22="Yes", ('Front Specification'!L6*'Front Specification'!L7/1000000)*'Insert and Handle Options'!$C183,0)</f>
        <v>0</v>
      </c>
      <c r="M45" s="88">
        <f>IF('Front Specification'!M22="Yes", ('Front Specification'!M6*'Front Specification'!M7/1000000)*'Insert and Handle Options'!$C183,0)</f>
        <v>0</v>
      </c>
      <c r="N45" s="88">
        <f>IF('Front Specification'!N22="Yes", ('Front Specification'!N6*'Front Specification'!N7/1000000)*'Insert and Handle Options'!$C183,0)</f>
        <v>0</v>
      </c>
      <c r="O45" s="88">
        <f>IF('Front Specification'!O22="Yes", ('Front Specification'!O6*'Front Specification'!O7/1000000)*'Insert and Handle Options'!$C183,0)</f>
        <v>0</v>
      </c>
      <c r="P45" s="88">
        <f>IF('Front Specification'!P22="Yes", ('Front Specification'!P6*'Front Specification'!P7/1000000)*'Insert and Handle Options'!$C183,0)</f>
        <v>0</v>
      </c>
      <c r="Q45" s="88">
        <f>IF('Front Specification'!Q22="Yes", ('Front Specification'!Q6*'Front Specification'!Q7/1000000)*'Insert and Handle Options'!$C183,0)</f>
        <v>0</v>
      </c>
      <c r="R45" s="88">
        <f>IF('Front Specification'!R22="Yes", ('Front Specification'!R6*'Front Specification'!R7/1000000)*'Insert and Handle Options'!$C183,0)</f>
        <v>0</v>
      </c>
      <c r="S45" s="88">
        <f>IF('Front Specification'!S22="Yes", ('Front Specification'!S6*'Front Specification'!S7/1000000)*'Insert and Handle Options'!$C183,0)</f>
        <v>0</v>
      </c>
      <c r="T45" s="88">
        <f>IF('Front Specification'!T22="Yes", ('Front Specification'!T6*'Front Specification'!T7/1000000)*'Insert and Handle Options'!$C183,0)</f>
        <v>0</v>
      </c>
      <c r="U45" s="88">
        <f>IF('Front Specification'!U22="Yes", ('Front Specification'!U6*'Front Specification'!U7/1000000)*'Insert and Handle Options'!$C183,0)</f>
        <v>0</v>
      </c>
      <c r="V45" s="88">
        <f>IF('Front Specification'!V22="Yes", ('Front Specification'!V6*'Front Specification'!V7/1000000)*'Insert and Handle Options'!$C183,0)</f>
        <v>0</v>
      </c>
    </row>
    <row r="46" spans="2:22" hidden="1" x14ac:dyDescent="0.3">
      <c r="B46" s="1" t="s">
        <v>193</v>
      </c>
      <c r="C46" s="88">
        <f>IF(('Front Specification'!C6*'Front Specification'!C7/1000000)*'Insert and Handle Options'!$C183&gt;=('Insert and Handle Options'!$C183/4),('Front Specification'!C6*'Front Specification'!C7/1000000)*'Insert and Handle Options'!$C183,('Insert and Handle Options'!$C183/4))</f>
        <v>2.1549999999999998</v>
      </c>
      <c r="D46" s="88">
        <f>IF(('Front Specification'!D6*'Front Specification'!D7/1000000)*'Insert and Handle Options'!$C183&gt;=('Insert and Handle Options'!$C183/4),('Front Specification'!D6*'Front Specification'!D7/1000000)*'Insert and Handle Options'!$C183,('Insert and Handle Options'!$C183/4))</f>
        <v>2.1549999999999998</v>
      </c>
      <c r="E46" s="88">
        <f>IF(('Front Specification'!E6*'Front Specification'!E7/1000000)*'Insert and Handle Options'!$C183&gt;=('Insert and Handle Options'!$C183/4),('Front Specification'!E6*'Front Specification'!E7/1000000)*'Insert and Handle Options'!$C183,('Insert and Handle Options'!$C183/4))</f>
        <v>2.1549999999999998</v>
      </c>
      <c r="F46" s="88">
        <f>IF(('Front Specification'!F6*'Front Specification'!F7/1000000)*'Insert and Handle Options'!$C183&gt;=('Insert and Handle Options'!$C183/4),('Front Specification'!F6*'Front Specification'!F7/1000000)*'Insert and Handle Options'!$C183,('Insert and Handle Options'!$C183/4))</f>
        <v>2.1549999999999998</v>
      </c>
      <c r="G46" s="88">
        <f>IF(('Front Specification'!G6*'Front Specification'!G7/1000000)*'Insert and Handle Options'!$C183&gt;=('Insert and Handle Options'!$C183/4),('Front Specification'!G6*'Front Specification'!G7/1000000)*'Insert and Handle Options'!$C183,('Insert and Handle Options'!$C183/4))</f>
        <v>2.1549999999999998</v>
      </c>
      <c r="H46" s="88">
        <f>IF(('Front Specification'!H6*'Front Specification'!H7/1000000)*'Insert and Handle Options'!$C183&gt;=('Insert and Handle Options'!$C183/4),('Front Specification'!H6*'Front Specification'!H7/1000000)*'Insert and Handle Options'!$C183,('Insert and Handle Options'!$C183/4))</f>
        <v>2.1549999999999998</v>
      </c>
      <c r="I46" s="88">
        <f>IF(('Front Specification'!I6*'Front Specification'!I7/1000000)*'Insert and Handle Options'!$C183&gt;=('Insert and Handle Options'!$C183/4),('Front Specification'!I6*'Front Specification'!I7/1000000)*'Insert and Handle Options'!$C183,('Insert and Handle Options'!$C183/4))</f>
        <v>2.1549999999999998</v>
      </c>
      <c r="J46" s="88">
        <f>IF(('Front Specification'!J6*'Front Specification'!J7/1000000)*'Insert and Handle Options'!$C183&gt;=('Insert and Handle Options'!$C183/4),('Front Specification'!J6*'Front Specification'!J7/1000000)*'Insert and Handle Options'!$C183,('Insert and Handle Options'!$C183/4))</f>
        <v>2.1549999999999998</v>
      </c>
      <c r="K46" s="88">
        <f>IF(('Front Specification'!K6*'Front Specification'!K7/1000000)*'Insert and Handle Options'!$C183&gt;=('Insert and Handle Options'!$C183/4),('Front Specification'!K6*'Front Specification'!K7/1000000)*'Insert and Handle Options'!$C183,('Insert and Handle Options'!$C183/4))</f>
        <v>2.1549999999999998</v>
      </c>
      <c r="L46" s="88">
        <f>IF(('Front Specification'!L6*'Front Specification'!L7/1000000)*'Insert and Handle Options'!$C183&gt;=('Insert and Handle Options'!$C183/4),('Front Specification'!L6*'Front Specification'!L7/1000000)*'Insert and Handle Options'!$C183,('Insert and Handle Options'!$C183/4))</f>
        <v>2.1549999999999998</v>
      </c>
      <c r="M46" s="88">
        <f>IF(('Front Specification'!M6*'Front Specification'!M7/1000000)*'Insert and Handle Options'!$C183&gt;=('Insert and Handle Options'!$C183/4),('Front Specification'!M6*'Front Specification'!M7/1000000)*'Insert and Handle Options'!$C183,('Insert and Handle Options'!$C183/4))</f>
        <v>2.1549999999999998</v>
      </c>
      <c r="N46" s="88">
        <f>IF(('Front Specification'!N6*'Front Specification'!N7/1000000)*'Insert and Handle Options'!$C183&gt;=('Insert and Handle Options'!$C183/4),('Front Specification'!N6*'Front Specification'!N7/1000000)*'Insert and Handle Options'!$C183,('Insert and Handle Options'!$C183/4))</f>
        <v>2.1549999999999998</v>
      </c>
      <c r="O46" s="88">
        <f>IF(('Front Specification'!O6*'Front Specification'!O7/1000000)*'Insert and Handle Options'!$C183&gt;=('Insert and Handle Options'!$C183/4),('Front Specification'!O6*'Front Specification'!O7/1000000)*'Insert and Handle Options'!$C183,('Insert and Handle Options'!$C183/4))</f>
        <v>2.1549999999999998</v>
      </c>
      <c r="P46" s="88">
        <f>IF(('Front Specification'!P6*'Front Specification'!P7/1000000)*'Insert and Handle Options'!$C183&gt;=('Insert and Handle Options'!$C183/4),('Front Specification'!P6*'Front Specification'!P7/1000000)*'Insert and Handle Options'!$C183,('Insert and Handle Options'!$C183/4))</f>
        <v>2.1549999999999998</v>
      </c>
      <c r="Q46" s="88">
        <f>IF(('Front Specification'!Q6*'Front Specification'!Q7/1000000)*'Insert and Handle Options'!$C183&gt;=('Insert and Handle Options'!$C183/4),('Front Specification'!Q6*'Front Specification'!Q7/1000000)*'Insert and Handle Options'!$C183,('Insert and Handle Options'!$C183/4))</f>
        <v>2.1549999999999998</v>
      </c>
      <c r="R46" s="88">
        <f>IF(('Front Specification'!R6*'Front Specification'!R7/1000000)*'Insert and Handle Options'!$C183&gt;=('Insert and Handle Options'!$C183/4),('Front Specification'!R6*'Front Specification'!R7/1000000)*'Insert and Handle Options'!$C183,('Insert and Handle Options'!$C183/4))</f>
        <v>2.1549999999999998</v>
      </c>
      <c r="S46" s="88">
        <f>IF(('Front Specification'!S6*'Front Specification'!S7/1000000)*'Insert and Handle Options'!$C183&gt;=('Insert and Handle Options'!$C183/4),('Front Specification'!S6*'Front Specification'!S7/1000000)*'Insert and Handle Options'!$C183,('Insert and Handle Options'!$C183/4))</f>
        <v>2.1549999999999998</v>
      </c>
      <c r="T46" s="88">
        <f>IF(('Front Specification'!T6*'Front Specification'!T7/1000000)*'Insert and Handle Options'!$C183&gt;=('Insert and Handle Options'!$C183/4),('Front Specification'!T6*'Front Specification'!T7/1000000)*'Insert and Handle Options'!$C183,('Insert and Handle Options'!$C183/4))</f>
        <v>2.1549999999999998</v>
      </c>
      <c r="U46" s="88">
        <f>IF(('Front Specification'!U6*'Front Specification'!U7/1000000)*'Insert and Handle Options'!$C183&gt;=('Insert and Handle Options'!$C183/4),('Front Specification'!U6*'Front Specification'!U7/1000000)*'Insert and Handle Options'!$C183,('Insert and Handle Options'!$C183/4))</f>
        <v>2.1549999999999998</v>
      </c>
      <c r="V46" s="88">
        <f>IF(('Front Specification'!V6*'Front Specification'!V7/1000000)*'Insert and Handle Options'!$C183&gt;=('Insert and Handle Options'!$C183/4),('Front Specification'!V6*'Front Specification'!V7/1000000)*'Insert and Handle Options'!$C183,('Insert and Handle Options'!$C183/4))</f>
        <v>2.1549999999999998</v>
      </c>
    </row>
    <row r="47" spans="2:22" hidden="1" x14ac:dyDescent="0.3">
      <c r="B47" s="1" t="s">
        <v>236</v>
      </c>
      <c r="C47" s="88">
        <f>COUNTA('Front Specification'!C22)</f>
        <v>0</v>
      </c>
      <c r="D47" s="88">
        <f>COUNTA('Front Specification'!D22)</f>
        <v>0</v>
      </c>
      <c r="E47" s="88">
        <f>COUNTA('Front Specification'!E22)</f>
        <v>0</v>
      </c>
      <c r="F47" s="88">
        <f>COUNTA('Front Specification'!F22)</f>
        <v>0</v>
      </c>
      <c r="G47" s="88">
        <f>COUNTA('Front Specification'!G22)</f>
        <v>0</v>
      </c>
      <c r="H47" s="88">
        <f>COUNTA('Front Specification'!H22)</f>
        <v>0</v>
      </c>
      <c r="I47" s="88">
        <f>COUNTA('Front Specification'!I22)</f>
        <v>0</v>
      </c>
      <c r="J47" s="88">
        <f>COUNTA('Front Specification'!J22)</f>
        <v>0</v>
      </c>
      <c r="K47" s="88">
        <f>COUNTA('Front Specification'!K22)</f>
        <v>0</v>
      </c>
      <c r="L47" s="88">
        <f>COUNTA('Front Specification'!L22)</f>
        <v>0</v>
      </c>
      <c r="M47" s="88">
        <f>COUNTA('Front Specification'!M22)</f>
        <v>0</v>
      </c>
      <c r="N47" s="88">
        <f>COUNTA('Front Specification'!N22)</f>
        <v>0</v>
      </c>
      <c r="O47" s="88">
        <f>COUNTA('Front Specification'!O22)</f>
        <v>0</v>
      </c>
      <c r="P47" s="88">
        <f>COUNTA('Front Specification'!P22)</f>
        <v>0</v>
      </c>
      <c r="Q47" s="88">
        <f>COUNTA('Front Specification'!Q22)</f>
        <v>0</v>
      </c>
      <c r="R47" s="88">
        <f>COUNTA('Front Specification'!R22)</f>
        <v>0</v>
      </c>
      <c r="S47" s="88">
        <f>COUNTA('Front Specification'!S22)</f>
        <v>0</v>
      </c>
      <c r="T47" s="88">
        <f>COUNTA('Front Specification'!T22)</f>
        <v>0</v>
      </c>
      <c r="U47" s="88">
        <f>COUNTA('Front Specification'!U22)</f>
        <v>0</v>
      </c>
      <c r="V47" s="88">
        <f>COUNTA('Front Specification'!V22)</f>
        <v>0</v>
      </c>
    </row>
    <row r="48" spans="2:22" hidden="1" x14ac:dyDescent="0.3">
      <c r="B48" s="1" t="s">
        <v>218</v>
      </c>
      <c r="C48" s="88">
        <f>IF('Handle Specification'!C21='Handle Specification'!$Z$10,'Insert and Handle Options'!$D$150,IF('Handle Specification'!C21='Handle Specification'!$Z$11,'Insert and Handle Options'!$D$153,IF('Handle Specification'!C21='Handle Specification'!$Z$12,'Insert and Handle Options'!$D$156,IF('Handle Specification'!C21='Handle Specification'!$AA$10,'Insert and Handle Options'!$D$160,IF('Handle Specification'!C21='Handle Specification'!$AA$11,'Insert and Handle Options'!$D$163,IF('Handle Specification'!C21='Handle Specification'!$AA$12,'Insert and Handle Options'!$D$166,IF('Handle Specification'!C21='Handle Specification'!$AB$10,'Insert and Handle Options'!$D$170,Costing!C49)))))))</f>
        <v>0</v>
      </c>
      <c r="D48" s="88">
        <f>IF('Handle Specification'!D21='Handle Specification'!$Z$10,'Insert and Handle Options'!$D$150,IF('Handle Specification'!D21='Handle Specification'!$Z$11,'Insert and Handle Options'!$D$153,IF('Handle Specification'!D21='Handle Specification'!$Z$12,'Insert and Handle Options'!$D$156,IF('Handle Specification'!D21='Handle Specification'!$AA$10,'Insert and Handle Options'!$D$160,IF('Handle Specification'!D21='Handle Specification'!$AA$11,'Insert and Handle Options'!$D$163,IF('Handle Specification'!D21='Handle Specification'!$AA$12,'Insert and Handle Options'!$D$166,IF('Handle Specification'!D21='Handle Specification'!$AB$10,'Insert and Handle Options'!$D$170,Costing!D49)))))))</f>
        <v>0</v>
      </c>
      <c r="E48" s="88">
        <f>IF('Handle Specification'!E21='Handle Specification'!$Z$10,'Insert and Handle Options'!$D$150,IF('Handle Specification'!E21='Handle Specification'!$Z$11,'Insert and Handle Options'!$D$153,IF('Handle Specification'!E21='Handle Specification'!$Z$12,'Insert and Handle Options'!$D$156,IF('Handle Specification'!E21='Handle Specification'!$AA$10,'Insert and Handle Options'!$D$160,IF('Handle Specification'!E21='Handle Specification'!$AA$11,'Insert and Handle Options'!$D$163,IF('Handle Specification'!E21='Handle Specification'!$AA$12,'Insert and Handle Options'!$D$166,IF('Handle Specification'!E21='Handle Specification'!$AB$10,'Insert and Handle Options'!$D$170,Costing!E49)))))))</f>
        <v>0</v>
      </c>
      <c r="F48" s="88">
        <f>IF('Handle Specification'!F21='Handle Specification'!$Z$10,'Insert and Handle Options'!$D$150,IF('Handle Specification'!F21='Handle Specification'!$Z$11,'Insert and Handle Options'!$D$153,IF('Handle Specification'!F21='Handle Specification'!$Z$12,'Insert and Handle Options'!$D$156,IF('Handle Specification'!F21='Handle Specification'!$AA$10,'Insert and Handle Options'!$D$160,IF('Handle Specification'!F21='Handle Specification'!$AA$11,'Insert and Handle Options'!$D$163,IF('Handle Specification'!F21='Handle Specification'!$AA$12,'Insert and Handle Options'!$D$166,IF('Handle Specification'!F21='Handle Specification'!$AB$10,'Insert and Handle Options'!$D$170,Costing!F49)))))))</f>
        <v>0</v>
      </c>
      <c r="G48" s="88">
        <f>IF('Handle Specification'!G21='Handle Specification'!$Z$10,'Insert and Handle Options'!$D$150,IF('Handle Specification'!G21='Handle Specification'!$Z$11,'Insert and Handle Options'!$D$153,IF('Handle Specification'!G21='Handle Specification'!$Z$12,'Insert and Handle Options'!$D$156,IF('Handle Specification'!G21='Handle Specification'!$AA$10,'Insert and Handle Options'!$D$160,IF('Handle Specification'!G21='Handle Specification'!$AA$11,'Insert and Handle Options'!$D$163,IF('Handle Specification'!G21='Handle Specification'!$AA$12,'Insert and Handle Options'!$D$166,IF('Handle Specification'!G21='Handle Specification'!$AB$10,'Insert and Handle Options'!$D$170,Costing!G49)))))))</f>
        <v>0</v>
      </c>
      <c r="H48" s="88">
        <f>IF('Handle Specification'!H21='Handle Specification'!$Z$10,'Insert and Handle Options'!$D$150,IF('Handle Specification'!H21='Handle Specification'!$Z$11,'Insert and Handle Options'!$D$153,IF('Handle Specification'!H21='Handle Specification'!$Z$12,'Insert and Handle Options'!$D$156,IF('Handle Specification'!H21='Handle Specification'!$AA$10,'Insert and Handle Options'!$D$160,IF('Handle Specification'!H21='Handle Specification'!$AA$11,'Insert and Handle Options'!$D$163,IF('Handle Specification'!H21='Handle Specification'!$AA$12,'Insert and Handle Options'!$D$166,IF('Handle Specification'!H21='Handle Specification'!$AB$10,'Insert and Handle Options'!$D$170,Costing!H49)))))))</f>
        <v>0</v>
      </c>
      <c r="I48" s="88">
        <f>IF('Handle Specification'!I21='Handle Specification'!$Z$10,'Insert and Handle Options'!$D$150,IF('Handle Specification'!I21='Handle Specification'!$Z$11,'Insert and Handle Options'!$D$153,IF('Handle Specification'!I21='Handle Specification'!$Z$12,'Insert and Handle Options'!$D$156,IF('Handle Specification'!I21='Handle Specification'!$AA$10,'Insert and Handle Options'!$D$160,IF('Handle Specification'!I21='Handle Specification'!$AA$11,'Insert and Handle Options'!$D$163,IF('Handle Specification'!I21='Handle Specification'!$AA$12,'Insert and Handle Options'!$D$166,IF('Handle Specification'!I21='Handle Specification'!$AB$10,'Insert and Handle Options'!$D$170,Costing!I49)))))))</f>
        <v>0</v>
      </c>
      <c r="J48" s="88">
        <f>IF('Handle Specification'!J21='Handle Specification'!$Z$10,'Insert and Handle Options'!$D$150,IF('Handle Specification'!J21='Handle Specification'!$Z$11,'Insert and Handle Options'!$D$153,IF('Handle Specification'!J21='Handle Specification'!$Z$12,'Insert and Handle Options'!$D$156,IF('Handle Specification'!J21='Handle Specification'!$AA$10,'Insert and Handle Options'!$D$160,IF('Handle Specification'!J21='Handle Specification'!$AA$11,'Insert and Handle Options'!$D$163,IF('Handle Specification'!J21='Handle Specification'!$AA$12,'Insert and Handle Options'!$D$166,IF('Handle Specification'!J21='Handle Specification'!$AB$10,'Insert and Handle Options'!$D$170,Costing!J49)))))))</f>
        <v>0</v>
      </c>
      <c r="K48" s="88">
        <f>IF('Handle Specification'!K21='Handle Specification'!$Z$10,'Insert and Handle Options'!$D$150,IF('Handle Specification'!K21='Handle Specification'!$Z$11,'Insert and Handle Options'!$D$153,IF('Handle Specification'!K21='Handle Specification'!$Z$12,'Insert and Handle Options'!$D$156,IF('Handle Specification'!K21='Handle Specification'!$AA$10,'Insert and Handle Options'!$D$160,IF('Handle Specification'!K21='Handle Specification'!$AA$11,'Insert and Handle Options'!$D$163,IF('Handle Specification'!K21='Handle Specification'!$AA$12,'Insert and Handle Options'!$D$166,IF('Handle Specification'!K21='Handle Specification'!$AB$10,'Insert and Handle Options'!$D$170,Costing!K49)))))))</f>
        <v>0</v>
      </c>
      <c r="L48" s="88">
        <f>IF('Handle Specification'!L21='Handle Specification'!$Z$10,'Insert and Handle Options'!$D$150,IF('Handle Specification'!L21='Handle Specification'!$Z$11,'Insert and Handle Options'!$D$153,IF('Handle Specification'!L21='Handle Specification'!$Z$12,'Insert and Handle Options'!$D$156,IF('Handle Specification'!L21='Handle Specification'!$AA$10,'Insert and Handle Options'!$D$160,IF('Handle Specification'!L21='Handle Specification'!$AA$11,'Insert and Handle Options'!$D$163,IF('Handle Specification'!L21='Handle Specification'!$AA$12,'Insert and Handle Options'!$D$166,IF('Handle Specification'!L21='Handle Specification'!$AB$10,'Insert and Handle Options'!$D$170,Costing!L49)))))))</f>
        <v>0</v>
      </c>
      <c r="M48" s="88">
        <f>IF('Handle Specification'!M21='Handle Specification'!$Z$10,'Insert and Handle Options'!$D$150,IF('Handle Specification'!M21='Handle Specification'!$Z$11,'Insert and Handle Options'!$D$153,IF('Handle Specification'!M21='Handle Specification'!$Z$12,'Insert and Handle Options'!$D$156,IF('Handle Specification'!M21='Handle Specification'!$AA$10,'Insert and Handle Options'!$D$160,IF('Handle Specification'!M21='Handle Specification'!$AA$11,'Insert and Handle Options'!$D$163,IF('Handle Specification'!M21='Handle Specification'!$AA$12,'Insert and Handle Options'!$D$166,IF('Handle Specification'!M21='Handle Specification'!$AB$10,'Insert and Handle Options'!$D$170,Costing!M49)))))))</f>
        <v>0</v>
      </c>
      <c r="N48" s="88">
        <f>IF('Handle Specification'!N21='Handle Specification'!$Z$10,'Insert and Handle Options'!$D$150,IF('Handle Specification'!N21='Handle Specification'!$Z$11,'Insert and Handle Options'!$D$153,IF('Handle Specification'!N21='Handle Specification'!$Z$12,'Insert and Handle Options'!$D$156,IF('Handle Specification'!N21='Handle Specification'!$AA$10,'Insert and Handle Options'!$D$160,IF('Handle Specification'!N21='Handle Specification'!$AA$11,'Insert and Handle Options'!$D$163,IF('Handle Specification'!N21='Handle Specification'!$AA$12,'Insert and Handle Options'!$D$166,IF('Handle Specification'!N21='Handle Specification'!$AB$10,'Insert and Handle Options'!$D$170,Costing!N49)))))))</f>
        <v>0</v>
      </c>
      <c r="O48" s="88">
        <f>IF('Handle Specification'!O21='Handle Specification'!$Z$10,'Insert and Handle Options'!$D$150,IF('Handle Specification'!O21='Handle Specification'!$Z$11,'Insert and Handle Options'!$D$153,IF('Handle Specification'!O21='Handle Specification'!$Z$12,'Insert and Handle Options'!$D$156,IF('Handle Specification'!O21='Handle Specification'!$AA$10,'Insert and Handle Options'!$D$160,IF('Handle Specification'!O21='Handle Specification'!$AA$11,'Insert and Handle Options'!$D$163,IF('Handle Specification'!O21='Handle Specification'!$AA$12,'Insert and Handle Options'!$D$166,IF('Handle Specification'!O21='Handle Specification'!$AB$10,'Insert and Handle Options'!$D$170,Costing!O49)))))))</f>
        <v>0</v>
      </c>
      <c r="P48" s="88">
        <f>IF('Handle Specification'!P21='Handle Specification'!$Z$10,'Insert and Handle Options'!$D$150,IF('Handle Specification'!P21='Handle Specification'!$Z$11,'Insert and Handle Options'!$D$153,IF('Handle Specification'!P21='Handle Specification'!$Z$12,'Insert and Handle Options'!$D$156,IF('Handle Specification'!P21='Handle Specification'!$AA$10,'Insert and Handle Options'!$D$160,IF('Handle Specification'!P21='Handle Specification'!$AA$11,'Insert and Handle Options'!$D$163,IF('Handle Specification'!P21='Handle Specification'!$AA$12,'Insert and Handle Options'!$D$166,IF('Handle Specification'!P21='Handle Specification'!$AB$10,'Insert and Handle Options'!$D$170,Costing!P49)))))))</f>
        <v>0</v>
      </c>
      <c r="Q48" s="88">
        <f>IF('Handle Specification'!Q21='Handle Specification'!$Z$10,'Insert and Handle Options'!$D$150,IF('Handle Specification'!Q21='Handle Specification'!$Z$11,'Insert and Handle Options'!$D$153,IF('Handle Specification'!Q21='Handle Specification'!$Z$12,'Insert and Handle Options'!$D$156,IF('Handle Specification'!Q21='Handle Specification'!$AA$10,'Insert and Handle Options'!$D$160,IF('Handle Specification'!Q21='Handle Specification'!$AA$11,'Insert and Handle Options'!$D$163,IF('Handle Specification'!Q21='Handle Specification'!$AA$12,'Insert and Handle Options'!$D$166,IF('Handle Specification'!Q21='Handle Specification'!$AB$10,'Insert and Handle Options'!$D$170,Costing!Q49)))))))</f>
        <v>0</v>
      </c>
      <c r="R48" s="88">
        <f>IF('Handle Specification'!R21='Handle Specification'!$Z$10,'Insert and Handle Options'!$D$150,IF('Handle Specification'!R21='Handle Specification'!$Z$11,'Insert and Handle Options'!$D$153,IF('Handle Specification'!R21='Handle Specification'!$Z$12,'Insert and Handle Options'!$D$156,IF('Handle Specification'!R21='Handle Specification'!$AA$10,'Insert and Handle Options'!$D$160,IF('Handle Specification'!R21='Handle Specification'!$AA$11,'Insert and Handle Options'!$D$163,IF('Handle Specification'!R21='Handle Specification'!$AA$12,'Insert and Handle Options'!$D$166,IF('Handle Specification'!R21='Handle Specification'!$AB$10,'Insert and Handle Options'!$D$170,Costing!R49)))))))</f>
        <v>0</v>
      </c>
      <c r="S48" s="88">
        <f>IF('Handle Specification'!S21='Handle Specification'!$Z$10,'Insert and Handle Options'!$D$150,IF('Handle Specification'!S21='Handle Specification'!$Z$11,'Insert and Handle Options'!$D$153,IF('Handle Specification'!S21='Handle Specification'!$Z$12,'Insert and Handle Options'!$D$156,IF('Handle Specification'!S21='Handle Specification'!$AA$10,'Insert and Handle Options'!$D$160,IF('Handle Specification'!S21='Handle Specification'!$AA$11,'Insert and Handle Options'!$D$163,IF('Handle Specification'!S21='Handle Specification'!$AA$12,'Insert and Handle Options'!$D$166,IF('Handle Specification'!S21='Handle Specification'!$AB$10,'Insert and Handle Options'!$D$170,Costing!S49)))))))</f>
        <v>0</v>
      </c>
      <c r="T48" s="88">
        <f>IF('Handle Specification'!T21='Handle Specification'!$Z$10,'Insert and Handle Options'!$D$150,IF('Handle Specification'!T21='Handle Specification'!$Z$11,'Insert and Handle Options'!$D$153,IF('Handle Specification'!T21='Handle Specification'!$Z$12,'Insert and Handle Options'!$D$156,IF('Handle Specification'!T21='Handle Specification'!$AA$10,'Insert and Handle Options'!$D$160,IF('Handle Specification'!T21='Handle Specification'!$AA$11,'Insert and Handle Options'!$D$163,IF('Handle Specification'!T21='Handle Specification'!$AA$12,'Insert and Handle Options'!$D$166,IF('Handle Specification'!T21='Handle Specification'!$AB$10,'Insert and Handle Options'!$D$170,Costing!T49)))))))</f>
        <v>0</v>
      </c>
      <c r="U48" s="88">
        <f>IF('Handle Specification'!U21='Handle Specification'!$Z$10,'Insert and Handle Options'!$D$150,IF('Handle Specification'!U21='Handle Specification'!$Z$11,'Insert and Handle Options'!$D$153,IF('Handle Specification'!U21='Handle Specification'!$Z$12,'Insert and Handle Options'!$D$156,IF('Handle Specification'!U21='Handle Specification'!$AA$10,'Insert and Handle Options'!$D$160,IF('Handle Specification'!U21='Handle Specification'!$AA$11,'Insert and Handle Options'!$D$163,IF('Handle Specification'!U21='Handle Specification'!$AA$12,'Insert and Handle Options'!$D$166,IF('Handle Specification'!U21='Handle Specification'!$AB$10,'Insert and Handle Options'!$D$170,Costing!U49)))))))</f>
        <v>0</v>
      </c>
      <c r="V48" s="88">
        <f>IF('Handle Specification'!V21='Handle Specification'!$Z$10,'Insert and Handle Options'!$D$150,IF('Handle Specification'!V21='Handle Specification'!$Z$11,'Insert and Handle Options'!$D$153,IF('Handle Specification'!V21='Handle Specification'!$Z$12,'Insert and Handle Options'!$D$156,IF('Handle Specification'!V21='Handle Specification'!$AA$10,'Insert and Handle Options'!$D$160,IF('Handle Specification'!V21='Handle Specification'!$AA$11,'Insert and Handle Options'!$D$163,IF('Handle Specification'!V21='Handle Specification'!$AA$12,'Insert and Handle Options'!$D$166,IF('Handle Specification'!V21='Handle Specification'!$AB$10,'Insert and Handle Options'!$D$170,Costing!V49)))))))</f>
        <v>0</v>
      </c>
    </row>
    <row r="49" spans="1:22" hidden="1" x14ac:dyDescent="0.3">
      <c r="B49" s="1" t="s">
        <v>219</v>
      </c>
      <c r="C49" s="88">
        <f>IF('Handle Specification'!C21='Handle Specification'!$AB$11,'Insert and Handle Options'!$D$173,IF('Handle Specification'!C21='Handle Specification'!$AB$12,'Insert and Handle Options'!$D$176,0))</f>
        <v>0</v>
      </c>
      <c r="D49" s="88">
        <f>IF('Handle Specification'!D21='Handle Specification'!$AB$11,'Insert and Handle Options'!$D$173,IF('Handle Specification'!D21='Handle Specification'!$AB$12,'Insert and Handle Options'!$D$176,0))</f>
        <v>0</v>
      </c>
      <c r="E49" s="88">
        <f>IF('Handle Specification'!E21='Handle Specification'!$AB$11,'Insert and Handle Options'!$D$173,IF('Handle Specification'!E21='Handle Specification'!$AB$12,'Insert and Handle Options'!$D$176,0))</f>
        <v>0</v>
      </c>
      <c r="F49" s="88">
        <f>IF('Handle Specification'!F21='Handle Specification'!$AB$11,'Insert and Handle Options'!$D$173,IF('Handle Specification'!F21='Handle Specification'!$AB$12,'Insert and Handle Options'!$D$176,0))</f>
        <v>0</v>
      </c>
      <c r="G49" s="88">
        <f>IF('Handle Specification'!G21='Handle Specification'!$AB$11,'Insert and Handle Options'!$D$173,IF('Handle Specification'!G21='Handle Specification'!$AB$12,'Insert and Handle Options'!$D$176,0))</f>
        <v>0</v>
      </c>
      <c r="H49" s="88">
        <f>IF('Handle Specification'!H21='Handle Specification'!$AB$11,'Insert and Handle Options'!$D$173,IF('Handle Specification'!H21='Handle Specification'!$AB$12,'Insert and Handle Options'!$D$176,0))</f>
        <v>0</v>
      </c>
      <c r="I49" s="88">
        <f>IF('Handle Specification'!I21='Handle Specification'!$AB$11,'Insert and Handle Options'!$D$173,IF('Handle Specification'!I21='Handle Specification'!$AB$12,'Insert and Handle Options'!$D$176,0))</f>
        <v>0</v>
      </c>
      <c r="J49" s="88">
        <f>IF('Handle Specification'!J21='Handle Specification'!$AB$11,'Insert and Handle Options'!$D$173,IF('Handle Specification'!J21='Handle Specification'!$AB$12,'Insert and Handle Options'!$D$176,0))</f>
        <v>0</v>
      </c>
      <c r="K49" s="88">
        <f>IF('Handle Specification'!K21='Handle Specification'!$AB$11,'Insert and Handle Options'!$D$173,IF('Handle Specification'!K21='Handle Specification'!$AB$12,'Insert and Handle Options'!$D$176,0))</f>
        <v>0</v>
      </c>
      <c r="L49" s="88">
        <f>IF('Handle Specification'!L21='Handle Specification'!$AB$11,'Insert and Handle Options'!$D$173,IF('Handle Specification'!L21='Handle Specification'!$AB$12,'Insert and Handle Options'!$D$176,0))</f>
        <v>0</v>
      </c>
      <c r="M49" s="88">
        <f>IF('Handle Specification'!M21='Handle Specification'!$AB$11,'Insert and Handle Options'!$D$173,IF('Handle Specification'!M21='Handle Specification'!$AB$12,'Insert and Handle Options'!$D$176,0))</f>
        <v>0</v>
      </c>
      <c r="N49" s="88">
        <f>IF('Handle Specification'!N21='Handle Specification'!$AB$11,'Insert and Handle Options'!$D$173,IF('Handle Specification'!N21='Handle Specification'!$AB$12,'Insert and Handle Options'!$D$176,0))</f>
        <v>0</v>
      </c>
      <c r="O49" s="88">
        <f>IF('Handle Specification'!O21='Handle Specification'!$AB$11,'Insert and Handle Options'!$D$173,IF('Handle Specification'!O21='Handle Specification'!$AB$12,'Insert and Handle Options'!$D$176,0))</f>
        <v>0</v>
      </c>
      <c r="P49" s="88">
        <f>IF('Handle Specification'!P21='Handle Specification'!$AB$11,'Insert and Handle Options'!$D$173,IF('Handle Specification'!P21='Handle Specification'!$AB$12,'Insert and Handle Options'!$D$176,0))</f>
        <v>0</v>
      </c>
      <c r="Q49" s="88">
        <f>IF('Handle Specification'!Q21='Handle Specification'!$AB$11,'Insert and Handle Options'!$D$173,IF('Handle Specification'!Q21='Handle Specification'!$AB$12,'Insert and Handle Options'!$D$176,0))</f>
        <v>0</v>
      </c>
      <c r="R49" s="88">
        <f>IF('Handle Specification'!R21='Handle Specification'!$AB$11,'Insert and Handle Options'!$D$173,IF('Handle Specification'!R21='Handle Specification'!$AB$12,'Insert and Handle Options'!$D$176,0))</f>
        <v>0</v>
      </c>
      <c r="S49" s="88">
        <f>IF('Handle Specification'!S21='Handle Specification'!$AB$11,'Insert and Handle Options'!$D$173,IF('Handle Specification'!S21='Handle Specification'!$AB$12,'Insert and Handle Options'!$D$176,0))</f>
        <v>0</v>
      </c>
      <c r="T49" s="88">
        <f>IF('Handle Specification'!T21='Handle Specification'!$AB$11,'Insert and Handle Options'!$D$173,IF('Handle Specification'!T21='Handle Specification'!$AB$12,'Insert and Handle Options'!$D$176,0))</f>
        <v>0</v>
      </c>
      <c r="U49" s="88">
        <f>IF('Handle Specification'!U21='Handle Specification'!$AB$11,'Insert and Handle Options'!$D$173,IF('Handle Specification'!U21='Handle Specification'!$AB$12,'Insert and Handle Options'!$D$176,0))</f>
        <v>0</v>
      </c>
      <c r="V49" s="88">
        <f>IF('Handle Specification'!V21='Handle Specification'!$AB$11,'Insert and Handle Options'!$D$173,IF('Handle Specification'!V21='Handle Specification'!$AB$12,'Insert and Handle Options'!$D$176,0))</f>
        <v>0</v>
      </c>
    </row>
    <row r="50" spans="1:22" hidden="1" x14ac:dyDescent="0.3"/>
    <row r="51" spans="1:22" hidden="1" x14ac:dyDescent="0.3"/>
    <row r="52" spans="1:22" hidden="1" x14ac:dyDescent="0.3"/>
    <row r="53" spans="1:22" hidden="1" x14ac:dyDescent="0.3"/>
    <row r="54" spans="1:22" hidden="1" x14ac:dyDescent="0.3"/>
    <row r="55" spans="1:22" hidden="1" x14ac:dyDescent="0.3"/>
    <row r="56" spans="1:22" hidden="1" x14ac:dyDescent="0.3">
      <c r="A56" s="57"/>
      <c r="B56" s="57"/>
      <c r="C56" s="93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</row>
    <row r="57" spans="1:22" hidden="1" x14ac:dyDescent="0.3"/>
  </sheetData>
  <sheetProtection algorithmName="SHA-512" hashValue="hUDBWBRdybT3BeuGfTbOdNNordl1xlxubND3XExYQRq9g2zamUMGl6zfYfKz1sqjGKdvE7Pj4LelSTQfkaJ58w==" saltValue="trfXP3NbE0NT6CWg/O9i4A==" spinCount="100000" sheet="1" selectLockedCells="1"/>
  <mergeCells count="27">
    <mergeCell ref="A22:B22"/>
    <mergeCell ref="A14:B14"/>
    <mergeCell ref="A15:B15"/>
    <mergeCell ref="A16:B16"/>
    <mergeCell ref="A17:B17"/>
    <mergeCell ref="A18:B18"/>
    <mergeCell ref="A1:K1"/>
    <mergeCell ref="A2:K2"/>
    <mergeCell ref="A4:B4"/>
    <mergeCell ref="A5:B5"/>
    <mergeCell ref="A6:B6"/>
    <mergeCell ref="A11:B11"/>
    <mergeCell ref="A7:B7"/>
    <mergeCell ref="A29:B29"/>
    <mergeCell ref="A26:B26"/>
    <mergeCell ref="A27:B27"/>
    <mergeCell ref="A24:B24"/>
    <mergeCell ref="A25:B25"/>
    <mergeCell ref="A8:B8"/>
    <mergeCell ref="A9:B9"/>
    <mergeCell ref="A10:B10"/>
    <mergeCell ref="A23:B23"/>
    <mergeCell ref="A12:B12"/>
    <mergeCell ref="A13:B13"/>
    <mergeCell ref="A19:B19"/>
    <mergeCell ref="A20:B20"/>
    <mergeCell ref="A21:B21"/>
  </mergeCells>
  <printOptions horizontalCentered="1"/>
  <pageMargins left="0.51181102362204722" right="0.51181102362204722" top="0.74803149606299213" bottom="0.74803149606299213" header="0.31496062992125984" footer="0.31496062992125984"/>
  <pageSetup paperSize="9" scale="55" orientation="landscape" verticalDpi="360" r:id="rId1"/>
  <colBreaks count="1" manualBreakCount="1">
    <brk id="12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W27"/>
  <sheetViews>
    <sheetView showGridLines="0" showRowColHeaders="0" zoomScale="75" zoomScaleNormal="75" workbookViewId="0">
      <selection activeCell="AA18" sqref="AA18"/>
    </sheetView>
  </sheetViews>
  <sheetFormatPr defaultRowHeight="14.4" x14ac:dyDescent="0.3"/>
  <cols>
    <col min="1" max="1" width="15.5546875" style="1" customWidth="1"/>
    <col min="2" max="2" width="12" style="1" customWidth="1"/>
    <col min="3" max="3" width="14.88671875" style="2" customWidth="1"/>
    <col min="4" max="7" width="13.6640625" style="3" customWidth="1"/>
    <col min="8" max="23" width="0" style="1" hidden="1" customWidth="1"/>
    <col min="24" max="256" width="9.109375" style="1"/>
    <col min="257" max="257" width="15.5546875" style="1" customWidth="1"/>
    <col min="258" max="258" width="12" style="1" customWidth="1"/>
    <col min="259" max="259" width="14.88671875" style="1" customWidth="1"/>
    <col min="260" max="263" width="13.6640625" style="1" customWidth="1"/>
    <col min="264" max="512" width="9.109375" style="1"/>
    <col min="513" max="513" width="15.5546875" style="1" customWidth="1"/>
    <col min="514" max="514" width="12" style="1" customWidth="1"/>
    <col min="515" max="515" width="14.88671875" style="1" customWidth="1"/>
    <col min="516" max="519" width="13.6640625" style="1" customWidth="1"/>
    <col min="520" max="768" width="9.109375" style="1"/>
    <col min="769" max="769" width="15.5546875" style="1" customWidth="1"/>
    <col min="770" max="770" width="12" style="1" customWidth="1"/>
    <col min="771" max="771" width="14.88671875" style="1" customWidth="1"/>
    <col min="772" max="775" width="13.6640625" style="1" customWidth="1"/>
    <col min="776" max="1024" width="9.109375" style="1"/>
    <col min="1025" max="1025" width="15.5546875" style="1" customWidth="1"/>
    <col min="1026" max="1026" width="12" style="1" customWidth="1"/>
    <col min="1027" max="1027" width="14.88671875" style="1" customWidth="1"/>
    <col min="1028" max="1031" width="13.6640625" style="1" customWidth="1"/>
    <col min="1032" max="1280" width="9.109375" style="1"/>
    <col min="1281" max="1281" width="15.5546875" style="1" customWidth="1"/>
    <col min="1282" max="1282" width="12" style="1" customWidth="1"/>
    <col min="1283" max="1283" width="14.88671875" style="1" customWidth="1"/>
    <col min="1284" max="1287" width="13.6640625" style="1" customWidth="1"/>
    <col min="1288" max="1536" width="9.109375" style="1"/>
    <col min="1537" max="1537" width="15.5546875" style="1" customWidth="1"/>
    <col min="1538" max="1538" width="12" style="1" customWidth="1"/>
    <col min="1539" max="1539" width="14.88671875" style="1" customWidth="1"/>
    <col min="1540" max="1543" width="13.6640625" style="1" customWidth="1"/>
    <col min="1544" max="1792" width="9.109375" style="1"/>
    <col min="1793" max="1793" width="15.5546875" style="1" customWidth="1"/>
    <col min="1794" max="1794" width="12" style="1" customWidth="1"/>
    <col min="1795" max="1795" width="14.88671875" style="1" customWidth="1"/>
    <col min="1796" max="1799" width="13.6640625" style="1" customWidth="1"/>
    <col min="1800" max="2048" width="9.109375" style="1"/>
    <col min="2049" max="2049" width="15.5546875" style="1" customWidth="1"/>
    <col min="2050" max="2050" width="12" style="1" customWidth="1"/>
    <col min="2051" max="2051" width="14.88671875" style="1" customWidth="1"/>
    <col min="2052" max="2055" width="13.6640625" style="1" customWidth="1"/>
    <col min="2056" max="2304" width="9.109375" style="1"/>
    <col min="2305" max="2305" width="15.5546875" style="1" customWidth="1"/>
    <col min="2306" max="2306" width="12" style="1" customWidth="1"/>
    <col min="2307" max="2307" width="14.88671875" style="1" customWidth="1"/>
    <col min="2308" max="2311" width="13.6640625" style="1" customWidth="1"/>
    <col min="2312" max="2560" width="9.109375" style="1"/>
    <col min="2561" max="2561" width="15.5546875" style="1" customWidth="1"/>
    <col min="2562" max="2562" width="12" style="1" customWidth="1"/>
    <col min="2563" max="2563" width="14.88671875" style="1" customWidth="1"/>
    <col min="2564" max="2567" width="13.6640625" style="1" customWidth="1"/>
    <col min="2568" max="2816" width="9.109375" style="1"/>
    <col min="2817" max="2817" width="15.5546875" style="1" customWidth="1"/>
    <col min="2818" max="2818" width="12" style="1" customWidth="1"/>
    <col min="2819" max="2819" width="14.88671875" style="1" customWidth="1"/>
    <col min="2820" max="2823" width="13.6640625" style="1" customWidth="1"/>
    <col min="2824" max="3072" width="9.109375" style="1"/>
    <col min="3073" max="3073" width="15.5546875" style="1" customWidth="1"/>
    <col min="3074" max="3074" width="12" style="1" customWidth="1"/>
    <col min="3075" max="3075" width="14.88671875" style="1" customWidth="1"/>
    <col min="3076" max="3079" width="13.6640625" style="1" customWidth="1"/>
    <col min="3080" max="3328" width="9.109375" style="1"/>
    <col min="3329" max="3329" width="15.5546875" style="1" customWidth="1"/>
    <col min="3330" max="3330" width="12" style="1" customWidth="1"/>
    <col min="3331" max="3331" width="14.88671875" style="1" customWidth="1"/>
    <col min="3332" max="3335" width="13.6640625" style="1" customWidth="1"/>
    <col min="3336" max="3584" width="9.109375" style="1"/>
    <col min="3585" max="3585" width="15.5546875" style="1" customWidth="1"/>
    <col min="3586" max="3586" width="12" style="1" customWidth="1"/>
    <col min="3587" max="3587" width="14.88671875" style="1" customWidth="1"/>
    <col min="3588" max="3591" width="13.6640625" style="1" customWidth="1"/>
    <col min="3592" max="3840" width="9.109375" style="1"/>
    <col min="3841" max="3841" width="15.5546875" style="1" customWidth="1"/>
    <col min="3842" max="3842" width="12" style="1" customWidth="1"/>
    <col min="3843" max="3843" width="14.88671875" style="1" customWidth="1"/>
    <col min="3844" max="3847" width="13.6640625" style="1" customWidth="1"/>
    <col min="3848" max="4096" width="9.109375" style="1"/>
    <col min="4097" max="4097" width="15.5546875" style="1" customWidth="1"/>
    <col min="4098" max="4098" width="12" style="1" customWidth="1"/>
    <col min="4099" max="4099" width="14.88671875" style="1" customWidth="1"/>
    <col min="4100" max="4103" width="13.6640625" style="1" customWidth="1"/>
    <col min="4104" max="4352" width="9.109375" style="1"/>
    <col min="4353" max="4353" width="15.5546875" style="1" customWidth="1"/>
    <col min="4354" max="4354" width="12" style="1" customWidth="1"/>
    <col min="4355" max="4355" width="14.88671875" style="1" customWidth="1"/>
    <col min="4356" max="4359" width="13.6640625" style="1" customWidth="1"/>
    <col min="4360" max="4608" width="9.109375" style="1"/>
    <col min="4609" max="4609" width="15.5546875" style="1" customWidth="1"/>
    <col min="4610" max="4610" width="12" style="1" customWidth="1"/>
    <col min="4611" max="4611" width="14.88671875" style="1" customWidth="1"/>
    <col min="4612" max="4615" width="13.6640625" style="1" customWidth="1"/>
    <col min="4616" max="4864" width="9.109375" style="1"/>
    <col min="4865" max="4865" width="15.5546875" style="1" customWidth="1"/>
    <col min="4866" max="4866" width="12" style="1" customWidth="1"/>
    <col min="4867" max="4867" width="14.88671875" style="1" customWidth="1"/>
    <col min="4868" max="4871" width="13.6640625" style="1" customWidth="1"/>
    <col min="4872" max="5120" width="9.109375" style="1"/>
    <col min="5121" max="5121" width="15.5546875" style="1" customWidth="1"/>
    <col min="5122" max="5122" width="12" style="1" customWidth="1"/>
    <col min="5123" max="5123" width="14.88671875" style="1" customWidth="1"/>
    <col min="5124" max="5127" width="13.6640625" style="1" customWidth="1"/>
    <col min="5128" max="5376" width="9.109375" style="1"/>
    <col min="5377" max="5377" width="15.5546875" style="1" customWidth="1"/>
    <col min="5378" max="5378" width="12" style="1" customWidth="1"/>
    <col min="5379" max="5379" width="14.88671875" style="1" customWidth="1"/>
    <col min="5380" max="5383" width="13.6640625" style="1" customWidth="1"/>
    <col min="5384" max="5632" width="9.109375" style="1"/>
    <col min="5633" max="5633" width="15.5546875" style="1" customWidth="1"/>
    <col min="5634" max="5634" width="12" style="1" customWidth="1"/>
    <col min="5635" max="5635" width="14.88671875" style="1" customWidth="1"/>
    <col min="5636" max="5639" width="13.6640625" style="1" customWidth="1"/>
    <col min="5640" max="5888" width="9.109375" style="1"/>
    <col min="5889" max="5889" width="15.5546875" style="1" customWidth="1"/>
    <col min="5890" max="5890" width="12" style="1" customWidth="1"/>
    <col min="5891" max="5891" width="14.88671875" style="1" customWidth="1"/>
    <col min="5892" max="5895" width="13.6640625" style="1" customWidth="1"/>
    <col min="5896" max="6144" width="9.109375" style="1"/>
    <col min="6145" max="6145" width="15.5546875" style="1" customWidth="1"/>
    <col min="6146" max="6146" width="12" style="1" customWidth="1"/>
    <col min="6147" max="6147" width="14.88671875" style="1" customWidth="1"/>
    <col min="6148" max="6151" width="13.6640625" style="1" customWidth="1"/>
    <col min="6152" max="6400" width="9.109375" style="1"/>
    <col min="6401" max="6401" width="15.5546875" style="1" customWidth="1"/>
    <col min="6402" max="6402" width="12" style="1" customWidth="1"/>
    <col min="6403" max="6403" width="14.88671875" style="1" customWidth="1"/>
    <col min="6404" max="6407" width="13.6640625" style="1" customWidth="1"/>
    <col min="6408" max="6656" width="9.109375" style="1"/>
    <col min="6657" max="6657" width="15.5546875" style="1" customWidth="1"/>
    <col min="6658" max="6658" width="12" style="1" customWidth="1"/>
    <col min="6659" max="6659" width="14.88671875" style="1" customWidth="1"/>
    <col min="6660" max="6663" width="13.6640625" style="1" customWidth="1"/>
    <col min="6664" max="6912" width="9.109375" style="1"/>
    <col min="6913" max="6913" width="15.5546875" style="1" customWidth="1"/>
    <col min="6914" max="6914" width="12" style="1" customWidth="1"/>
    <col min="6915" max="6915" width="14.88671875" style="1" customWidth="1"/>
    <col min="6916" max="6919" width="13.6640625" style="1" customWidth="1"/>
    <col min="6920" max="7168" width="9.109375" style="1"/>
    <col min="7169" max="7169" width="15.5546875" style="1" customWidth="1"/>
    <col min="7170" max="7170" width="12" style="1" customWidth="1"/>
    <col min="7171" max="7171" width="14.88671875" style="1" customWidth="1"/>
    <col min="7172" max="7175" width="13.6640625" style="1" customWidth="1"/>
    <col min="7176" max="7424" width="9.109375" style="1"/>
    <col min="7425" max="7425" width="15.5546875" style="1" customWidth="1"/>
    <col min="7426" max="7426" width="12" style="1" customWidth="1"/>
    <col min="7427" max="7427" width="14.88671875" style="1" customWidth="1"/>
    <col min="7428" max="7431" width="13.6640625" style="1" customWidth="1"/>
    <col min="7432" max="7680" width="9.109375" style="1"/>
    <col min="7681" max="7681" width="15.5546875" style="1" customWidth="1"/>
    <col min="7682" max="7682" width="12" style="1" customWidth="1"/>
    <col min="7683" max="7683" width="14.88671875" style="1" customWidth="1"/>
    <col min="7684" max="7687" width="13.6640625" style="1" customWidth="1"/>
    <col min="7688" max="7936" width="9.109375" style="1"/>
    <col min="7937" max="7937" width="15.5546875" style="1" customWidth="1"/>
    <col min="7938" max="7938" width="12" style="1" customWidth="1"/>
    <col min="7939" max="7939" width="14.88671875" style="1" customWidth="1"/>
    <col min="7940" max="7943" width="13.6640625" style="1" customWidth="1"/>
    <col min="7944" max="8192" width="9.109375" style="1"/>
    <col min="8193" max="8193" width="15.5546875" style="1" customWidth="1"/>
    <col min="8194" max="8194" width="12" style="1" customWidth="1"/>
    <col min="8195" max="8195" width="14.88671875" style="1" customWidth="1"/>
    <col min="8196" max="8199" width="13.6640625" style="1" customWidth="1"/>
    <col min="8200" max="8448" width="9.109375" style="1"/>
    <col min="8449" max="8449" width="15.5546875" style="1" customWidth="1"/>
    <col min="8450" max="8450" width="12" style="1" customWidth="1"/>
    <col min="8451" max="8451" width="14.88671875" style="1" customWidth="1"/>
    <col min="8452" max="8455" width="13.6640625" style="1" customWidth="1"/>
    <col min="8456" max="8704" width="9.109375" style="1"/>
    <col min="8705" max="8705" width="15.5546875" style="1" customWidth="1"/>
    <col min="8706" max="8706" width="12" style="1" customWidth="1"/>
    <col min="8707" max="8707" width="14.88671875" style="1" customWidth="1"/>
    <col min="8708" max="8711" width="13.6640625" style="1" customWidth="1"/>
    <col min="8712" max="8960" width="9.109375" style="1"/>
    <col min="8961" max="8961" width="15.5546875" style="1" customWidth="1"/>
    <col min="8962" max="8962" width="12" style="1" customWidth="1"/>
    <col min="8963" max="8963" width="14.88671875" style="1" customWidth="1"/>
    <col min="8964" max="8967" width="13.6640625" style="1" customWidth="1"/>
    <col min="8968" max="9216" width="9.109375" style="1"/>
    <col min="9217" max="9217" width="15.5546875" style="1" customWidth="1"/>
    <col min="9218" max="9218" width="12" style="1" customWidth="1"/>
    <col min="9219" max="9219" width="14.88671875" style="1" customWidth="1"/>
    <col min="9220" max="9223" width="13.6640625" style="1" customWidth="1"/>
    <col min="9224" max="9472" width="9.109375" style="1"/>
    <col min="9473" max="9473" width="15.5546875" style="1" customWidth="1"/>
    <col min="9474" max="9474" width="12" style="1" customWidth="1"/>
    <col min="9475" max="9475" width="14.88671875" style="1" customWidth="1"/>
    <col min="9476" max="9479" width="13.6640625" style="1" customWidth="1"/>
    <col min="9480" max="9728" width="9.109375" style="1"/>
    <col min="9729" max="9729" width="15.5546875" style="1" customWidth="1"/>
    <col min="9730" max="9730" width="12" style="1" customWidth="1"/>
    <col min="9731" max="9731" width="14.88671875" style="1" customWidth="1"/>
    <col min="9732" max="9735" width="13.6640625" style="1" customWidth="1"/>
    <col min="9736" max="9984" width="9.109375" style="1"/>
    <col min="9985" max="9985" width="15.5546875" style="1" customWidth="1"/>
    <col min="9986" max="9986" width="12" style="1" customWidth="1"/>
    <col min="9987" max="9987" width="14.88671875" style="1" customWidth="1"/>
    <col min="9988" max="9991" width="13.6640625" style="1" customWidth="1"/>
    <col min="9992" max="10240" width="9.109375" style="1"/>
    <col min="10241" max="10241" width="15.5546875" style="1" customWidth="1"/>
    <col min="10242" max="10242" width="12" style="1" customWidth="1"/>
    <col min="10243" max="10243" width="14.88671875" style="1" customWidth="1"/>
    <col min="10244" max="10247" width="13.6640625" style="1" customWidth="1"/>
    <col min="10248" max="10496" width="9.109375" style="1"/>
    <col min="10497" max="10497" width="15.5546875" style="1" customWidth="1"/>
    <col min="10498" max="10498" width="12" style="1" customWidth="1"/>
    <col min="10499" max="10499" width="14.88671875" style="1" customWidth="1"/>
    <col min="10500" max="10503" width="13.6640625" style="1" customWidth="1"/>
    <col min="10504" max="10752" width="9.109375" style="1"/>
    <col min="10753" max="10753" width="15.5546875" style="1" customWidth="1"/>
    <col min="10754" max="10754" width="12" style="1" customWidth="1"/>
    <col min="10755" max="10755" width="14.88671875" style="1" customWidth="1"/>
    <col min="10756" max="10759" width="13.6640625" style="1" customWidth="1"/>
    <col min="10760" max="11008" width="9.109375" style="1"/>
    <col min="11009" max="11009" width="15.5546875" style="1" customWidth="1"/>
    <col min="11010" max="11010" width="12" style="1" customWidth="1"/>
    <col min="11011" max="11011" width="14.88671875" style="1" customWidth="1"/>
    <col min="11012" max="11015" width="13.6640625" style="1" customWidth="1"/>
    <col min="11016" max="11264" width="9.109375" style="1"/>
    <col min="11265" max="11265" width="15.5546875" style="1" customWidth="1"/>
    <col min="11266" max="11266" width="12" style="1" customWidth="1"/>
    <col min="11267" max="11267" width="14.88671875" style="1" customWidth="1"/>
    <col min="11268" max="11271" width="13.6640625" style="1" customWidth="1"/>
    <col min="11272" max="11520" width="9.109375" style="1"/>
    <col min="11521" max="11521" width="15.5546875" style="1" customWidth="1"/>
    <col min="11522" max="11522" width="12" style="1" customWidth="1"/>
    <col min="11523" max="11523" width="14.88671875" style="1" customWidth="1"/>
    <col min="11524" max="11527" width="13.6640625" style="1" customWidth="1"/>
    <col min="11528" max="11776" width="9.109375" style="1"/>
    <col min="11777" max="11777" width="15.5546875" style="1" customWidth="1"/>
    <col min="11778" max="11778" width="12" style="1" customWidth="1"/>
    <col min="11779" max="11779" width="14.88671875" style="1" customWidth="1"/>
    <col min="11780" max="11783" width="13.6640625" style="1" customWidth="1"/>
    <col min="11784" max="12032" width="9.109375" style="1"/>
    <col min="12033" max="12033" width="15.5546875" style="1" customWidth="1"/>
    <col min="12034" max="12034" width="12" style="1" customWidth="1"/>
    <col min="12035" max="12035" width="14.88671875" style="1" customWidth="1"/>
    <col min="12036" max="12039" width="13.6640625" style="1" customWidth="1"/>
    <col min="12040" max="12288" width="9.109375" style="1"/>
    <col min="12289" max="12289" width="15.5546875" style="1" customWidth="1"/>
    <col min="12290" max="12290" width="12" style="1" customWidth="1"/>
    <col min="12291" max="12291" width="14.88671875" style="1" customWidth="1"/>
    <col min="12292" max="12295" width="13.6640625" style="1" customWidth="1"/>
    <col min="12296" max="12544" width="9.109375" style="1"/>
    <col min="12545" max="12545" width="15.5546875" style="1" customWidth="1"/>
    <col min="12546" max="12546" width="12" style="1" customWidth="1"/>
    <col min="12547" max="12547" width="14.88671875" style="1" customWidth="1"/>
    <col min="12548" max="12551" width="13.6640625" style="1" customWidth="1"/>
    <col min="12552" max="12800" width="9.109375" style="1"/>
    <col min="12801" max="12801" width="15.5546875" style="1" customWidth="1"/>
    <col min="12802" max="12802" width="12" style="1" customWidth="1"/>
    <col min="12803" max="12803" width="14.88671875" style="1" customWidth="1"/>
    <col min="12804" max="12807" width="13.6640625" style="1" customWidth="1"/>
    <col min="12808" max="13056" width="9.109375" style="1"/>
    <col min="13057" max="13057" width="15.5546875" style="1" customWidth="1"/>
    <col min="13058" max="13058" width="12" style="1" customWidth="1"/>
    <col min="13059" max="13059" width="14.88671875" style="1" customWidth="1"/>
    <col min="13060" max="13063" width="13.6640625" style="1" customWidth="1"/>
    <col min="13064" max="13312" width="9.109375" style="1"/>
    <col min="13313" max="13313" width="15.5546875" style="1" customWidth="1"/>
    <col min="13314" max="13314" width="12" style="1" customWidth="1"/>
    <col min="13315" max="13315" width="14.88671875" style="1" customWidth="1"/>
    <col min="13316" max="13319" width="13.6640625" style="1" customWidth="1"/>
    <col min="13320" max="13568" width="9.109375" style="1"/>
    <col min="13569" max="13569" width="15.5546875" style="1" customWidth="1"/>
    <col min="13570" max="13570" width="12" style="1" customWidth="1"/>
    <col min="13571" max="13571" width="14.88671875" style="1" customWidth="1"/>
    <col min="13572" max="13575" width="13.6640625" style="1" customWidth="1"/>
    <col min="13576" max="13824" width="9.109375" style="1"/>
    <col min="13825" max="13825" width="15.5546875" style="1" customWidth="1"/>
    <col min="13826" max="13826" width="12" style="1" customWidth="1"/>
    <col min="13827" max="13827" width="14.88671875" style="1" customWidth="1"/>
    <col min="13828" max="13831" width="13.6640625" style="1" customWidth="1"/>
    <col min="13832" max="14080" width="9.109375" style="1"/>
    <col min="14081" max="14081" width="15.5546875" style="1" customWidth="1"/>
    <col min="14082" max="14082" width="12" style="1" customWidth="1"/>
    <col min="14083" max="14083" width="14.88671875" style="1" customWidth="1"/>
    <col min="14084" max="14087" width="13.6640625" style="1" customWidth="1"/>
    <col min="14088" max="14336" width="9.109375" style="1"/>
    <col min="14337" max="14337" width="15.5546875" style="1" customWidth="1"/>
    <col min="14338" max="14338" width="12" style="1" customWidth="1"/>
    <col min="14339" max="14339" width="14.88671875" style="1" customWidth="1"/>
    <col min="14340" max="14343" width="13.6640625" style="1" customWidth="1"/>
    <col min="14344" max="14592" width="9.109375" style="1"/>
    <col min="14593" max="14593" width="15.5546875" style="1" customWidth="1"/>
    <col min="14594" max="14594" width="12" style="1" customWidth="1"/>
    <col min="14595" max="14595" width="14.88671875" style="1" customWidth="1"/>
    <col min="14596" max="14599" width="13.6640625" style="1" customWidth="1"/>
    <col min="14600" max="14848" width="9.109375" style="1"/>
    <col min="14849" max="14849" width="15.5546875" style="1" customWidth="1"/>
    <col min="14850" max="14850" width="12" style="1" customWidth="1"/>
    <col min="14851" max="14851" width="14.88671875" style="1" customWidth="1"/>
    <col min="14852" max="14855" width="13.6640625" style="1" customWidth="1"/>
    <col min="14856" max="15104" width="9.109375" style="1"/>
    <col min="15105" max="15105" width="15.5546875" style="1" customWidth="1"/>
    <col min="15106" max="15106" width="12" style="1" customWidth="1"/>
    <col min="15107" max="15107" width="14.88671875" style="1" customWidth="1"/>
    <col min="15108" max="15111" width="13.6640625" style="1" customWidth="1"/>
    <col min="15112" max="15360" width="9.109375" style="1"/>
    <col min="15361" max="15361" width="15.5546875" style="1" customWidth="1"/>
    <col min="15362" max="15362" width="12" style="1" customWidth="1"/>
    <col min="15363" max="15363" width="14.88671875" style="1" customWidth="1"/>
    <col min="15364" max="15367" width="13.6640625" style="1" customWidth="1"/>
    <col min="15368" max="15616" width="9.109375" style="1"/>
    <col min="15617" max="15617" width="15.5546875" style="1" customWidth="1"/>
    <col min="15618" max="15618" width="12" style="1" customWidth="1"/>
    <col min="15619" max="15619" width="14.88671875" style="1" customWidth="1"/>
    <col min="15620" max="15623" width="13.6640625" style="1" customWidth="1"/>
    <col min="15624" max="15872" width="9.109375" style="1"/>
    <col min="15873" max="15873" width="15.5546875" style="1" customWidth="1"/>
    <col min="15874" max="15874" width="12" style="1" customWidth="1"/>
    <col min="15875" max="15875" width="14.88671875" style="1" customWidth="1"/>
    <col min="15876" max="15879" width="13.6640625" style="1" customWidth="1"/>
    <col min="15880" max="16128" width="9.109375" style="1"/>
    <col min="16129" max="16129" width="15.5546875" style="1" customWidth="1"/>
    <col min="16130" max="16130" width="12" style="1" customWidth="1"/>
    <col min="16131" max="16131" width="14.88671875" style="1" customWidth="1"/>
    <col min="16132" max="16135" width="13.6640625" style="1" customWidth="1"/>
    <col min="16136" max="16384" width="9.109375" style="1"/>
  </cols>
  <sheetData>
    <row r="1" spans="1:23" ht="28.5" customHeight="1" x14ac:dyDescent="0.3">
      <c r="A1" s="16" t="s">
        <v>147</v>
      </c>
    </row>
    <row r="2" spans="1:23" ht="70.5" customHeight="1" x14ac:dyDescent="0.3">
      <c r="A2" s="121" t="s">
        <v>148</v>
      </c>
      <c r="B2" s="121"/>
      <c r="C2" s="121"/>
      <c r="D2" s="121"/>
      <c r="E2" s="121"/>
    </row>
    <row r="3" spans="1:23" ht="24.75" customHeight="1" thickBot="1" x14ac:dyDescent="0.35">
      <c r="A3" s="135"/>
      <c r="B3" s="135"/>
      <c r="C3" s="136"/>
      <c r="D3" s="4" t="s">
        <v>149</v>
      </c>
      <c r="E3" s="4" t="s">
        <v>150</v>
      </c>
      <c r="F3" s="4" t="s">
        <v>151</v>
      </c>
      <c r="G3" s="4" t="s">
        <v>152</v>
      </c>
    </row>
    <row r="4" spans="1:23" ht="30" customHeight="1" thickBot="1" x14ac:dyDescent="0.35">
      <c r="A4" s="135"/>
      <c r="B4" s="135"/>
      <c r="C4" s="136"/>
      <c r="D4" s="5"/>
      <c r="E4" s="5"/>
      <c r="F4" s="5"/>
      <c r="G4" s="5"/>
    </row>
    <row r="5" spans="1:23" ht="36" customHeight="1" thickBot="1" x14ac:dyDescent="0.35">
      <c r="A5" s="137"/>
      <c r="B5" s="137"/>
      <c r="C5" s="138" t="s">
        <v>153</v>
      </c>
      <c r="D5" s="139" t="s">
        <v>154</v>
      </c>
      <c r="E5" s="140"/>
      <c r="F5" s="140"/>
      <c r="G5" s="141"/>
    </row>
    <row r="6" spans="1:23" ht="36" customHeight="1" thickBot="1" x14ac:dyDescent="0.35">
      <c r="A6" s="137"/>
      <c r="B6" s="137"/>
      <c r="C6" s="138"/>
      <c r="D6" s="6">
        <v>13.5</v>
      </c>
      <c r="E6" s="7">
        <v>20.07</v>
      </c>
      <c r="F6" s="6">
        <v>20.3</v>
      </c>
      <c r="G6" s="7">
        <v>24.3</v>
      </c>
      <c r="H6" s="113">
        <v>35.619999999999997</v>
      </c>
      <c r="I6" s="113">
        <v>52.63</v>
      </c>
      <c r="J6" s="113">
        <v>53.76</v>
      </c>
      <c r="K6" s="113">
        <v>64.37</v>
      </c>
      <c r="L6" s="114">
        <f>H6/5.3</f>
        <v>6.7207547169811299</v>
      </c>
      <c r="M6" s="114">
        <f t="shared" ref="M6:O6" si="0">I6/5.3</f>
        <v>9.9301886792452798</v>
      </c>
      <c r="N6" s="114">
        <f t="shared" si="0"/>
        <v>10.143396226415099</v>
      </c>
      <c r="O6" s="114">
        <f t="shared" si="0"/>
        <v>12.1452830188679</v>
      </c>
      <c r="P6" s="108">
        <f>D6-L6</f>
        <v>6.78</v>
      </c>
      <c r="Q6" s="108">
        <f t="shared" ref="Q6:S6" si="1">E6-M6</f>
        <v>10.14</v>
      </c>
      <c r="R6" s="108">
        <f t="shared" si="1"/>
        <v>10.16</v>
      </c>
      <c r="S6" s="108">
        <f t="shared" si="1"/>
        <v>12.15</v>
      </c>
      <c r="T6" s="109">
        <f>P6/D6</f>
        <v>0.50219999999999998</v>
      </c>
      <c r="U6" s="109">
        <f t="shared" ref="U6:W6" si="2">Q6/E6</f>
        <v>0.50519999999999998</v>
      </c>
      <c r="V6" s="109">
        <f t="shared" si="2"/>
        <v>0.50049999999999994</v>
      </c>
      <c r="W6" s="109">
        <f t="shared" si="2"/>
        <v>0.5</v>
      </c>
    </row>
    <row r="7" spans="1:23" ht="36" customHeight="1" thickBot="1" x14ac:dyDescent="0.35">
      <c r="A7" s="137"/>
      <c r="B7" s="137"/>
      <c r="C7" s="138" t="s">
        <v>155</v>
      </c>
      <c r="D7" s="139" t="s">
        <v>156</v>
      </c>
      <c r="E7" s="140"/>
      <c r="F7" s="140"/>
      <c r="G7" s="141"/>
      <c r="H7" s="110"/>
      <c r="I7" s="110"/>
      <c r="J7" s="110"/>
      <c r="K7" s="110"/>
      <c r="L7" s="24"/>
      <c r="M7" s="24"/>
      <c r="N7" s="24"/>
      <c r="O7" s="24"/>
      <c r="P7" s="24"/>
      <c r="Q7" s="24"/>
      <c r="R7" s="24"/>
      <c r="S7" s="24"/>
      <c r="T7" s="111"/>
      <c r="U7" s="111"/>
      <c r="V7" s="112"/>
      <c r="W7" s="112"/>
    </row>
    <row r="8" spans="1:23" ht="36" customHeight="1" thickBot="1" x14ac:dyDescent="0.35">
      <c r="A8" s="137"/>
      <c r="B8" s="137"/>
      <c r="C8" s="138"/>
      <c r="D8" s="6">
        <v>21.28</v>
      </c>
      <c r="E8" s="7" t="s">
        <v>18</v>
      </c>
      <c r="F8" s="6">
        <v>29.88</v>
      </c>
      <c r="G8" s="8" t="s">
        <v>18</v>
      </c>
      <c r="H8" s="113">
        <v>47.22</v>
      </c>
      <c r="I8" s="110" t="s">
        <v>18</v>
      </c>
      <c r="J8" s="113">
        <v>77.8</v>
      </c>
      <c r="K8" s="110" t="s">
        <v>18</v>
      </c>
      <c r="L8" s="114">
        <f>H8/5.3</f>
        <v>8.9094339622641492</v>
      </c>
      <c r="M8" s="110" t="s">
        <v>18</v>
      </c>
      <c r="N8" s="114">
        <f t="shared" ref="N8" si="3">J8/5.3</f>
        <v>14.679245283018901</v>
      </c>
      <c r="O8" s="110" t="s">
        <v>18</v>
      </c>
      <c r="P8" s="108">
        <f>D8-L8</f>
        <v>12.37</v>
      </c>
      <c r="Q8" s="110" t="s">
        <v>18</v>
      </c>
      <c r="R8" s="108">
        <f t="shared" ref="R8" si="4">F8-N8</f>
        <v>15.2</v>
      </c>
      <c r="S8" s="110" t="s">
        <v>18</v>
      </c>
      <c r="T8" s="109">
        <f>P8/D8</f>
        <v>0.58130000000000004</v>
      </c>
      <c r="U8" s="110" t="s">
        <v>18</v>
      </c>
      <c r="V8" s="109">
        <f t="shared" ref="V8" si="5">R8/F8</f>
        <v>0.50870000000000004</v>
      </c>
      <c r="W8" s="110" t="s">
        <v>18</v>
      </c>
    </row>
    <row r="9" spans="1:23" ht="36" customHeight="1" thickBot="1" x14ac:dyDescent="0.35">
      <c r="A9" s="137"/>
      <c r="B9" s="137"/>
      <c r="C9" s="138" t="s">
        <v>157</v>
      </c>
      <c r="D9" s="139" t="s">
        <v>158</v>
      </c>
      <c r="E9" s="140"/>
      <c r="F9" s="140"/>
      <c r="G9" s="141"/>
      <c r="H9" s="110"/>
      <c r="I9" s="110"/>
      <c r="J9" s="110"/>
      <c r="K9" s="110"/>
      <c r="L9" s="24"/>
      <c r="M9" s="24"/>
      <c r="N9" s="24"/>
      <c r="O9" s="24"/>
      <c r="P9" s="24"/>
      <c r="Q9" s="24"/>
      <c r="R9" s="24"/>
      <c r="S9" s="24"/>
      <c r="T9" s="111"/>
      <c r="U9" s="111"/>
      <c r="V9" s="112"/>
      <c r="W9" s="112"/>
    </row>
    <row r="10" spans="1:23" ht="36" customHeight="1" thickBot="1" x14ac:dyDescent="0.35">
      <c r="A10" s="137"/>
      <c r="B10" s="137"/>
      <c r="C10" s="138"/>
      <c r="D10" s="6" t="s">
        <v>18</v>
      </c>
      <c r="E10" s="8" t="s">
        <v>18</v>
      </c>
      <c r="F10" s="8" t="s">
        <v>18</v>
      </c>
      <c r="G10" s="9">
        <v>24.65</v>
      </c>
      <c r="H10" s="110" t="s">
        <v>18</v>
      </c>
      <c r="I10" s="110" t="s">
        <v>18</v>
      </c>
      <c r="J10" s="110" t="s">
        <v>18</v>
      </c>
      <c r="K10" s="113">
        <v>65.290000000000006</v>
      </c>
      <c r="L10" s="110" t="s">
        <v>18</v>
      </c>
      <c r="M10" s="110" t="s">
        <v>18</v>
      </c>
      <c r="N10" s="110" t="s">
        <v>18</v>
      </c>
      <c r="O10" s="114">
        <f t="shared" ref="O10" si="6">K10/5.3</f>
        <v>12.3188679245283</v>
      </c>
      <c r="P10" s="110" t="s">
        <v>18</v>
      </c>
      <c r="Q10" s="110" t="s">
        <v>18</v>
      </c>
      <c r="R10" s="110" t="s">
        <v>18</v>
      </c>
      <c r="S10" s="108">
        <f t="shared" ref="S10" si="7">G10-O10</f>
        <v>12.33</v>
      </c>
      <c r="T10" s="110" t="s">
        <v>18</v>
      </c>
      <c r="U10" s="110" t="s">
        <v>18</v>
      </c>
      <c r="V10" s="110" t="s">
        <v>18</v>
      </c>
      <c r="W10" s="109">
        <f t="shared" ref="W10" si="8">S10/G10</f>
        <v>0.50019999999999998</v>
      </c>
    </row>
    <row r="11" spans="1:23" ht="36" customHeight="1" thickBot="1" x14ac:dyDescent="0.35">
      <c r="A11" s="142"/>
      <c r="B11" s="142"/>
      <c r="C11" s="143" t="s">
        <v>159</v>
      </c>
      <c r="D11" s="139" t="s">
        <v>160</v>
      </c>
      <c r="E11" s="140"/>
      <c r="F11" s="140"/>
      <c r="G11" s="141"/>
      <c r="H11" s="110"/>
      <c r="I11" s="110"/>
      <c r="J11" s="110"/>
      <c r="K11" s="110"/>
      <c r="L11" s="24"/>
      <c r="M11" s="24"/>
      <c r="N11" s="24"/>
      <c r="O11" s="24"/>
      <c r="P11" s="24"/>
      <c r="Q11" s="24"/>
      <c r="R11" s="24"/>
      <c r="S11" s="24"/>
      <c r="T11" s="111"/>
      <c r="U11" s="111"/>
      <c r="V11" s="112"/>
      <c r="W11" s="112"/>
    </row>
    <row r="12" spans="1:23" ht="36" customHeight="1" thickBot="1" x14ac:dyDescent="0.35">
      <c r="A12" s="142"/>
      <c r="B12" s="142"/>
      <c r="C12" s="143"/>
      <c r="D12" s="6">
        <v>20.7</v>
      </c>
      <c r="E12" s="7">
        <v>29.92</v>
      </c>
      <c r="F12" s="7">
        <v>29.96</v>
      </c>
      <c r="G12" s="7">
        <v>27.86</v>
      </c>
      <c r="H12" s="113">
        <v>54.8</v>
      </c>
      <c r="I12" s="113">
        <v>79.17</v>
      </c>
      <c r="J12" s="113">
        <v>65.3</v>
      </c>
      <c r="K12" s="113">
        <v>73.39</v>
      </c>
      <c r="L12" s="114">
        <f>H12/5.3</f>
        <v>10.339622641509401</v>
      </c>
      <c r="M12" s="114">
        <f t="shared" ref="M12" si="9">I12/5.3</f>
        <v>14.937735849056599</v>
      </c>
      <c r="N12" s="114">
        <f t="shared" ref="N12" si="10">J12/5.3</f>
        <v>12.320754716981099</v>
      </c>
      <c r="O12" s="114">
        <f t="shared" ref="O12" si="11">K12/5.3</f>
        <v>13.8471698113208</v>
      </c>
      <c r="P12" s="108">
        <f>D12-L12</f>
        <v>10.36</v>
      </c>
      <c r="Q12" s="108">
        <f t="shared" ref="Q12" si="12">E12-M12</f>
        <v>14.98</v>
      </c>
      <c r="R12" s="108">
        <f t="shared" ref="R12" si="13">F12-N12</f>
        <v>17.64</v>
      </c>
      <c r="S12" s="108">
        <f t="shared" ref="S12" si="14">G12-O12</f>
        <v>14.01</v>
      </c>
      <c r="T12" s="109">
        <f>P12/D12</f>
        <v>0.50049999999999994</v>
      </c>
      <c r="U12" s="109">
        <f t="shared" ref="U12" si="15">Q12/E12</f>
        <v>0.50070000000000003</v>
      </c>
      <c r="V12" s="109">
        <f t="shared" ref="V12" si="16">R12/F12</f>
        <v>0.58879999999999999</v>
      </c>
      <c r="W12" s="109">
        <f t="shared" ref="W12" si="17">S12/G12</f>
        <v>0.50290000000000001</v>
      </c>
    </row>
    <row r="13" spans="1:23" ht="36" customHeight="1" thickBot="1" x14ac:dyDescent="0.35">
      <c r="A13" s="142"/>
      <c r="B13" s="142"/>
      <c r="C13" s="143" t="s">
        <v>161</v>
      </c>
      <c r="D13" s="139" t="s">
        <v>162</v>
      </c>
      <c r="E13" s="140"/>
      <c r="F13" s="140"/>
      <c r="G13" s="141"/>
      <c r="H13" s="110"/>
      <c r="I13" s="110"/>
      <c r="J13" s="110"/>
      <c r="K13" s="110"/>
      <c r="L13" s="24"/>
      <c r="M13" s="24"/>
      <c r="N13" s="24"/>
      <c r="O13" s="24"/>
      <c r="P13" s="24"/>
      <c r="Q13" s="24"/>
      <c r="R13" s="24"/>
      <c r="S13" s="24"/>
      <c r="T13" s="111"/>
      <c r="U13" s="111"/>
      <c r="V13" s="112"/>
      <c r="W13" s="112"/>
    </row>
    <row r="14" spans="1:23" ht="36" customHeight="1" thickBot="1" x14ac:dyDescent="0.35">
      <c r="A14" s="142"/>
      <c r="B14" s="142"/>
      <c r="C14" s="143"/>
      <c r="D14" s="6">
        <v>24.12</v>
      </c>
      <c r="E14" s="7" t="s">
        <v>18</v>
      </c>
      <c r="F14" s="6">
        <v>30.8</v>
      </c>
      <c r="G14" s="7" t="s">
        <v>18</v>
      </c>
      <c r="H14" s="113">
        <v>63.83</v>
      </c>
      <c r="I14" s="110" t="s">
        <v>18</v>
      </c>
      <c r="J14" s="113">
        <v>81.56</v>
      </c>
      <c r="K14" s="110" t="s">
        <v>18</v>
      </c>
      <c r="L14" s="114">
        <f>H14/5.3</f>
        <v>12.0433962264151</v>
      </c>
      <c r="M14" s="110" t="s">
        <v>18</v>
      </c>
      <c r="N14" s="114">
        <f t="shared" ref="N14" si="18">J14/5.3</f>
        <v>15.388679245283001</v>
      </c>
      <c r="O14" s="110" t="s">
        <v>18</v>
      </c>
      <c r="P14" s="108">
        <f>D14-L14</f>
        <v>12.08</v>
      </c>
      <c r="Q14" s="110" t="s">
        <v>18</v>
      </c>
      <c r="R14" s="108">
        <f t="shared" ref="R14" si="19">F14-N14</f>
        <v>15.41</v>
      </c>
      <c r="S14" s="110" t="s">
        <v>18</v>
      </c>
      <c r="T14" s="109">
        <f>P14/D14</f>
        <v>0.50080000000000002</v>
      </c>
      <c r="U14" s="110" t="s">
        <v>18</v>
      </c>
      <c r="V14" s="109">
        <f t="shared" ref="V14" si="20">R14/F14</f>
        <v>0.50029999999999997</v>
      </c>
      <c r="W14" s="110" t="s">
        <v>18</v>
      </c>
    </row>
    <row r="15" spans="1:23" ht="36" customHeight="1" thickBot="1" x14ac:dyDescent="0.35">
      <c r="A15" s="142"/>
      <c r="B15" s="142"/>
      <c r="C15" s="143" t="s">
        <v>163</v>
      </c>
      <c r="D15" s="139" t="s">
        <v>164</v>
      </c>
      <c r="E15" s="140"/>
      <c r="F15" s="140"/>
      <c r="G15" s="141"/>
      <c r="H15" s="110"/>
      <c r="I15" s="110"/>
      <c r="J15" s="110"/>
      <c r="K15" s="110"/>
      <c r="L15" s="24"/>
      <c r="M15" s="24"/>
      <c r="N15" s="24"/>
      <c r="O15" s="24"/>
      <c r="P15" s="24"/>
      <c r="Q15" s="24"/>
      <c r="R15" s="24"/>
      <c r="S15" s="24"/>
      <c r="T15" s="111"/>
      <c r="U15" s="111"/>
      <c r="V15" s="112"/>
      <c r="W15" s="112"/>
    </row>
    <row r="16" spans="1:23" ht="36" customHeight="1" thickBot="1" x14ac:dyDescent="0.35">
      <c r="A16" s="142"/>
      <c r="B16" s="142"/>
      <c r="C16" s="143"/>
      <c r="D16" s="6" t="s">
        <v>18</v>
      </c>
      <c r="E16" s="7" t="s">
        <v>18</v>
      </c>
      <c r="F16" s="6">
        <v>16.100000000000001</v>
      </c>
      <c r="G16" s="7" t="s">
        <v>18</v>
      </c>
      <c r="H16" s="110" t="s">
        <v>18</v>
      </c>
      <c r="I16" s="110" t="s">
        <v>18</v>
      </c>
      <c r="J16" s="113">
        <v>42.57</v>
      </c>
      <c r="K16" s="110" t="s">
        <v>18</v>
      </c>
      <c r="L16" s="110" t="s">
        <v>18</v>
      </c>
      <c r="M16" s="110" t="s">
        <v>18</v>
      </c>
      <c r="N16" s="114">
        <f t="shared" ref="N16" si="21">J16/5.3</f>
        <v>8.0320754716981106</v>
      </c>
      <c r="O16" s="110" t="s">
        <v>18</v>
      </c>
      <c r="P16" s="110" t="s">
        <v>18</v>
      </c>
      <c r="Q16" s="110" t="s">
        <v>18</v>
      </c>
      <c r="R16" s="108">
        <f t="shared" ref="R16" si="22">F16-N16</f>
        <v>8.07</v>
      </c>
      <c r="S16" s="110" t="s">
        <v>18</v>
      </c>
      <c r="T16" s="110" t="s">
        <v>18</v>
      </c>
      <c r="U16" s="110" t="s">
        <v>18</v>
      </c>
      <c r="V16" s="109">
        <f t="shared" ref="V16" si="23">R16/F16</f>
        <v>0.50119999999999998</v>
      </c>
      <c r="W16" s="110" t="s">
        <v>18</v>
      </c>
    </row>
    <row r="17" spans="1:23" ht="36" customHeight="1" thickBot="1" x14ac:dyDescent="0.35">
      <c r="A17" s="142"/>
      <c r="B17" s="142"/>
      <c r="C17" s="143" t="s">
        <v>165</v>
      </c>
      <c r="D17" s="139" t="s">
        <v>166</v>
      </c>
      <c r="E17" s="140"/>
      <c r="F17" s="140"/>
      <c r="G17" s="141"/>
      <c r="H17" s="110"/>
      <c r="I17" s="110"/>
      <c r="J17" s="110"/>
      <c r="K17" s="110"/>
      <c r="L17" s="24"/>
      <c r="M17" s="24"/>
      <c r="N17" s="24"/>
      <c r="O17" s="24"/>
      <c r="P17" s="24"/>
      <c r="Q17" s="24"/>
      <c r="R17" s="24"/>
      <c r="S17" s="24"/>
      <c r="T17" s="111"/>
      <c r="U17" s="111"/>
      <c r="V17" s="112"/>
      <c r="W17" s="112"/>
    </row>
    <row r="18" spans="1:23" ht="36" customHeight="1" thickBot="1" x14ac:dyDescent="0.35">
      <c r="A18" s="142"/>
      <c r="B18" s="142"/>
      <c r="C18" s="143"/>
      <c r="D18" s="6">
        <v>28.2</v>
      </c>
      <c r="E18" s="10" t="s">
        <v>18</v>
      </c>
      <c r="F18" s="10" t="s">
        <v>18</v>
      </c>
      <c r="G18" s="10" t="s">
        <v>18</v>
      </c>
      <c r="H18" s="113">
        <v>72.53</v>
      </c>
      <c r="I18" s="110" t="s">
        <v>18</v>
      </c>
      <c r="J18" s="110" t="s">
        <v>18</v>
      </c>
      <c r="K18" s="110" t="s">
        <v>18</v>
      </c>
      <c r="L18" s="114">
        <f>H18/5.3</f>
        <v>13.6849056603774</v>
      </c>
      <c r="M18" s="110" t="s">
        <v>18</v>
      </c>
      <c r="N18" s="110" t="s">
        <v>18</v>
      </c>
      <c r="O18" s="110" t="s">
        <v>18</v>
      </c>
      <c r="P18" s="108">
        <f>D18-L18</f>
        <v>14.52</v>
      </c>
      <c r="Q18" s="110" t="s">
        <v>18</v>
      </c>
      <c r="R18" s="110" t="s">
        <v>18</v>
      </c>
      <c r="S18" s="110" t="s">
        <v>18</v>
      </c>
      <c r="T18" s="109">
        <f>P18/D18</f>
        <v>0.51490000000000002</v>
      </c>
      <c r="U18" s="110" t="s">
        <v>18</v>
      </c>
      <c r="V18" s="110" t="s">
        <v>18</v>
      </c>
      <c r="W18" s="110" t="s">
        <v>18</v>
      </c>
    </row>
    <row r="19" spans="1:23" ht="36" customHeight="1" thickBot="1" x14ac:dyDescent="0.35">
      <c r="A19" s="142"/>
      <c r="B19" s="142"/>
      <c r="C19" s="143" t="s">
        <v>167</v>
      </c>
      <c r="D19" s="139" t="s">
        <v>168</v>
      </c>
      <c r="E19" s="140"/>
      <c r="F19" s="140"/>
      <c r="G19" s="141"/>
      <c r="H19" s="110"/>
      <c r="I19" s="110"/>
      <c r="J19" s="110"/>
      <c r="K19" s="110"/>
      <c r="L19" s="24"/>
      <c r="M19" s="24"/>
      <c r="N19" s="24"/>
      <c r="O19" s="24"/>
      <c r="P19" s="24"/>
      <c r="Q19" s="24"/>
      <c r="R19" s="24"/>
      <c r="S19" s="24"/>
      <c r="T19" s="111"/>
      <c r="U19" s="111"/>
      <c r="V19" s="112"/>
      <c r="W19" s="112"/>
    </row>
    <row r="20" spans="1:23" ht="36" customHeight="1" thickBot="1" x14ac:dyDescent="0.35">
      <c r="A20" s="142"/>
      <c r="B20" s="142"/>
      <c r="C20" s="143"/>
      <c r="D20" s="6">
        <v>28.2</v>
      </c>
      <c r="E20" s="10" t="s">
        <v>18</v>
      </c>
      <c r="F20" s="10" t="s">
        <v>18</v>
      </c>
      <c r="G20" s="10" t="s">
        <v>18</v>
      </c>
      <c r="H20" s="113">
        <v>77.150000000000006</v>
      </c>
      <c r="I20" s="110" t="s">
        <v>18</v>
      </c>
      <c r="J20" s="110" t="s">
        <v>18</v>
      </c>
      <c r="K20" s="110" t="s">
        <v>18</v>
      </c>
      <c r="L20" s="114">
        <f>H20/5.3</f>
        <v>14.5566037735849</v>
      </c>
      <c r="M20" s="110" t="s">
        <v>18</v>
      </c>
      <c r="N20" s="110" t="s">
        <v>18</v>
      </c>
      <c r="O20" s="110" t="s">
        <v>18</v>
      </c>
      <c r="P20" s="108">
        <f>D20-L20</f>
        <v>13.64</v>
      </c>
      <c r="Q20" s="110" t="s">
        <v>18</v>
      </c>
      <c r="R20" s="110" t="s">
        <v>18</v>
      </c>
      <c r="S20" s="110" t="s">
        <v>18</v>
      </c>
      <c r="T20" s="109">
        <f>P20/D20</f>
        <v>0.48370000000000002</v>
      </c>
      <c r="U20" s="110" t="s">
        <v>18</v>
      </c>
      <c r="V20" s="110" t="s">
        <v>18</v>
      </c>
      <c r="W20" s="110" t="s">
        <v>18</v>
      </c>
    </row>
    <row r="21" spans="1:23" ht="36" customHeight="1" x14ac:dyDescent="0.3">
      <c r="A21" s="11"/>
      <c r="B21" s="11"/>
      <c r="C21" s="12"/>
      <c r="D21" s="13"/>
      <c r="E21" s="13"/>
      <c r="F21" s="14"/>
      <c r="G21" s="13"/>
    </row>
    <row r="22" spans="1:23" x14ac:dyDescent="0.3">
      <c r="A22" s="1" t="s">
        <v>254</v>
      </c>
    </row>
    <row r="23" spans="1:23" x14ac:dyDescent="0.3">
      <c r="A23" s="1" t="s">
        <v>253</v>
      </c>
    </row>
    <row r="25" spans="1:23" x14ac:dyDescent="0.3">
      <c r="A25" s="1" t="s">
        <v>223</v>
      </c>
    </row>
    <row r="27" spans="1:23" x14ac:dyDescent="0.3">
      <c r="A27" s="1" t="s">
        <v>224</v>
      </c>
    </row>
  </sheetData>
  <sheetProtection algorithmName="SHA-512" hashValue="ED4fcXUiCEFZlRDGqRZARTwYZVqd408vOEHilQfOjyPn2PC7mb0Hn7kbIkCo5e3iAlzCZoGTOMfTJwRtBmnENQ==" saltValue="rF3EEyAPscG9sxmuFfya4Q==" spinCount="100000" sheet="1" selectLockedCells="1"/>
  <mergeCells count="36">
    <mergeCell ref="A19:A20"/>
    <mergeCell ref="B19:B20"/>
    <mergeCell ref="C19:C20"/>
    <mergeCell ref="D19:G19"/>
    <mergeCell ref="A15:A16"/>
    <mergeCell ref="B15:B16"/>
    <mergeCell ref="C15:C16"/>
    <mergeCell ref="D15:G15"/>
    <mergeCell ref="A17:A18"/>
    <mergeCell ref="B17:B18"/>
    <mergeCell ref="C17:C18"/>
    <mergeCell ref="D17:G17"/>
    <mergeCell ref="A11:A12"/>
    <mergeCell ref="B11:B12"/>
    <mergeCell ref="C11:C12"/>
    <mergeCell ref="D11:G11"/>
    <mergeCell ref="A13:A14"/>
    <mergeCell ref="B13:B14"/>
    <mergeCell ref="C13:C14"/>
    <mergeCell ref="D13:G13"/>
    <mergeCell ref="A7:A8"/>
    <mergeCell ref="B7:B8"/>
    <mergeCell ref="C7:C8"/>
    <mergeCell ref="D7:G7"/>
    <mergeCell ref="A9:A10"/>
    <mergeCell ref="B9:B10"/>
    <mergeCell ref="C9:C10"/>
    <mergeCell ref="D9:G9"/>
    <mergeCell ref="A2:E2"/>
    <mergeCell ref="A3:A4"/>
    <mergeCell ref="B3:B4"/>
    <mergeCell ref="C3:C4"/>
    <mergeCell ref="A5:A6"/>
    <mergeCell ref="B5:B6"/>
    <mergeCell ref="C5:C6"/>
    <mergeCell ref="D5:G5"/>
  </mergeCells>
  <printOptions horizontalCentered="1"/>
  <pageMargins left="0.51181102362204722" right="0.51181102362204722" top="0.74803149606299213" bottom="0.74803149606299213" header="0.31496062992125984" footer="0.31496062992125984"/>
  <pageSetup paperSize="9" scale="84" orientation="portrait" verticalDpi="36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T197"/>
  <sheetViews>
    <sheetView showGridLines="0" showRowColHeaders="0" topLeftCell="A73" zoomScale="75" zoomScaleNormal="75" workbookViewId="0">
      <selection activeCell="N11" sqref="N11"/>
    </sheetView>
  </sheetViews>
  <sheetFormatPr defaultRowHeight="14.4" x14ac:dyDescent="0.3"/>
  <cols>
    <col min="1" max="1" width="67.109375" style="1" customWidth="1"/>
    <col min="2" max="2" width="31.88671875" style="1" customWidth="1"/>
    <col min="3" max="3" width="8" style="1" customWidth="1"/>
    <col min="4" max="4" width="10.6640625" style="15" customWidth="1"/>
    <col min="5" max="8" width="0" style="1" hidden="1" customWidth="1"/>
    <col min="9" max="257" width="9.109375" style="1"/>
    <col min="258" max="258" width="67.109375" style="1" customWidth="1"/>
    <col min="259" max="259" width="31.88671875" style="1" customWidth="1"/>
    <col min="260" max="260" width="18" style="1" customWidth="1"/>
    <col min="261" max="513" width="9.109375" style="1"/>
    <col min="514" max="514" width="67.109375" style="1" customWidth="1"/>
    <col min="515" max="515" width="31.88671875" style="1" customWidth="1"/>
    <col min="516" max="516" width="18" style="1" customWidth="1"/>
    <col min="517" max="769" width="9.109375" style="1"/>
    <col min="770" max="770" width="67.109375" style="1" customWidth="1"/>
    <col min="771" max="771" width="31.88671875" style="1" customWidth="1"/>
    <col min="772" max="772" width="18" style="1" customWidth="1"/>
    <col min="773" max="1025" width="9.109375" style="1"/>
    <col min="1026" max="1026" width="67.109375" style="1" customWidth="1"/>
    <col min="1027" max="1027" width="31.88671875" style="1" customWidth="1"/>
    <col min="1028" max="1028" width="18" style="1" customWidth="1"/>
    <col min="1029" max="1281" width="9.109375" style="1"/>
    <col min="1282" max="1282" width="67.109375" style="1" customWidth="1"/>
    <col min="1283" max="1283" width="31.88671875" style="1" customWidth="1"/>
    <col min="1284" max="1284" width="18" style="1" customWidth="1"/>
    <col min="1285" max="1537" width="9.109375" style="1"/>
    <col min="1538" max="1538" width="67.109375" style="1" customWidth="1"/>
    <col min="1539" max="1539" width="31.88671875" style="1" customWidth="1"/>
    <col min="1540" max="1540" width="18" style="1" customWidth="1"/>
    <col min="1541" max="1793" width="9.109375" style="1"/>
    <col min="1794" max="1794" width="67.109375" style="1" customWidth="1"/>
    <col min="1795" max="1795" width="31.88671875" style="1" customWidth="1"/>
    <col min="1796" max="1796" width="18" style="1" customWidth="1"/>
    <col min="1797" max="2049" width="9.109375" style="1"/>
    <col min="2050" max="2050" width="67.109375" style="1" customWidth="1"/>
    <col min="2051" max="2051" width="31.88671875" style="1" customWidth="1"/>
    <col min="2052" max="2052" width="18" style="1" customWidth="1"/>
    <col min="2053" max="2305" width="9.109375" style="1"/>
    <col min="2306" max="2306" width="67.109375" style="1" customWidth="1"/>
    <col min="2307" max="2307" width="31.88671875" style="1" customWidth="1"/>
    <col min="2308" max="2308" width="18" style="1" customWidth="1"/>
    <col min="2309" max="2561" width="9.109375" style="1"/>
    <col min="2562" max="2562" width="67.109375" style="1" customWidth="1"/>
    <col min="2563" max="2563" width="31.88671875" style="1" customWidth="1"/>
    <col min="2564" max="2564" width="18" style="1" customWidth="1"/>
    <col min="2565" max="2817" width="9.109375" style="1"/>
    <col min="2818" max="2818" width="67.109375" style="1" customWidth="1"/>
    <col min="2819" max="2819" width="31.88671875" style="1" customWidth="1"/>
    <col min="2820" max="2820" width="18" style="1" customWidth="1"/>
    <col min="2821" max="3073" width="9.109375" style="1"/>
    <col min="3074" max="3074" width="67.109375" style="1" customWidth="1"/>
    <col min="3075" max="3075" width="31.88671875" style="1" customWidth="1"/>
    <col min="3076" max="3076" width="18" style="1" customWidth="1"/>
    <col min="3077" max="3329" width="9.109375" style="1"/>
    <col min="3330" max="3330" width="67.109375" style="1" customWidth="1"/>
    <col min="3331" max="3331" width="31.88671875" style="1" customWidth="1"/>
    <col min="3332" max="3332" width="18" style="1" customWidth="1"/>
    <col min="3333" max="3585" width="9.109375" style="1"/>
    <col min="3586" max="3586" width="67.109375" style="1" customWidth="1"/>
    <col min="3587" max="3587" width="31.88671875" style="1" customWidth="1"/>
    <col min="3588" max="3588" width="18" style="1" customWidth="1"/>
    <col min="3589" max="3841" width="9.109375" style="1"/>
    <col min="3842" max="3842" width="67.109375" style="1" customWidth="1"/>
    <col min="3843" max="3843" width="31.88671875" style="1" customWidth="1"/>
    <col min="3844" max="3844" width="18" style="1" customWidth="1"/>
    <col min="3845" max="4097" width="9.109375" style="1"/>
    <col min="4098" max="4098" width="67.109375" style="1" customWidth="1"/>
    <col min="4099" max="4099" width="31.88671875" style="1" customWidth="1"/>
    <col min="4100" max="4100" width="18" style="1" customWidth="1"/>
    <col min="4101" max="4353" width="9.109375" style="1"/>
    <col min="4354" max="4354" width="67.109375" style="1" customWidth="1"/>
    <col min="4355" max="4355" width="31.88671875" style="1" customWidth="1"/>
    <col min="4356" max="4356" width="18" style="1" customWidth="1"/>
    <col min="4357" max="4609" width="9.109375" style="1"/>
    <col min="4610" max="4610" width="67.109375" style="1" customWidth="1"/>
    <col min="4611" max="4611" width="31.88671875" style="1" customWidth="1"/>
    <col min="4612" max="4612" width="18" style="1" customWidth="1"/>
    <col min="4613" max="4865" width="9.109375" style="1"/>
    <col min="4866" max="4866" width="67.109375" style="1" customWidth="1"/>
    <col min="4867" max="4867" width="31.88671875" style="1" customWidth="1"/>
    <col min="4868" max="4868" width="18" style="1" customWidth="1"/>
    <col min="4869" max="5121" width="9.109375" style="1"/>
    <col min="5122" max="5122" width="67.109375" style="1" customWidth="1"/>
    <col min="5123" max="5123" width="31.88671875" style="1" customWidth="1"/>
    <col min="5124" max="5124" width="18" style="1" customWidth="1"/>
    <col min="5125" max="5377" width="9.109375" style="1"/>
    <col min="5378" max="5378" width="67.109375" style="1" customWidth="1"/>
    <col min="5379" max="5379" width="31.88671875" style="1" customWidth="1"/>
    <col min="5380" max="5380" width="18" style="1" customWidth="1"/>
    <col min="5381" max="5633" width="9.109375" style="1"/>
    <col min="5634" max="5634" width="67.109375" style="1" customWidth="1"/>
    <col min="5635" max="5635" width="31.88671875" style="1" customWidth="1"/>
    <col min="5636" max="5636" width="18" style="1" customWidth="1"/>
    <col min="5637" max="5889" width="9.109375" style="1"/>
    <col min="5890" max="5890" width="67.109375" style="1" customWidth="1"/>
    <col min="5891" max="5891" width="31.88671875" style="1" customWidth="1"/>
    <col min="5892" max="5892" width="18" style="1" customWidth="1"/>
    <col min="5893" max="6145" width="9.109375" style="1"/>
    <col min="6146" max="6146" width="67.109375" style="1" customWidth="1"/>
    <col min="6147" max="6147" width="31.88671875" style="1" customWidth="1"/>
    <col min="6148" max="6148" width="18" style="1" customWidth="1"/>
    <col min="6149" max="6401" width="9.109375" style="1"/>
    <col min="6402" max="6402" width="67.109375" style="1" customWidth="1"/>
    <col min="6403" max="6403" width="31.88671875" style="1" customWidth="1"/>
    <col min="6404" max="6404" width="18" style="1" customWidth="1"/>
    <col min="6405" max="6657" width="9.109375" style="1"/>
    <col min="6658" max="6658" width="67.109375" style="1" customWidth="1"/>
    <col min="6659" max="6659" width="31.88671875" style="1" customWidth="1"/>
    <col min="6660" max="6660" width="18" style="1" customWidth="1"/>
    <col min="6661" max="6913" width="9.109375" style="1"/>
    <col min="6914" max="6914" width="67.109375" style="1" customWidth="1"/>
    <col min="6915" max="6915" width="31.88671875" style="1" customWidth="1"/>
    <col min="6916" max="6916" width="18" style="1" customWidth="1"/>
    <col min="6917" max="7169" width="9.109375" style="1"/>
    <col min="7170" max="7170" width="67.109375" style="1" customWidth="1"/>
    <col min="7171" max="7171" width="31.88671875" style="1" customWidth="1"/>
    <col min="7172" max="7172" width="18" style="1" customWidth="1"/>
    <col min="7173" max="7425" width="9.109375" style="1"/>
    <col min="7426" max="7426" width="67.109375" style="1" customWidth="1"/>
    <col min="7427" max="7427" width="31.88671875" style="1" customWidth="1"/>
    <col min="7428" max="7428" width="18" style="1" customWidth="1"/>
    <col min="7429" max="7681" width="9.109375" style="1"/>
    <col min="7682" max="7682" width="67.109375" style="1" customWidth="1"/>
    <col min="7683" max="7683" width="31.88671875" style="1" customWidth="1"/>
    <col min="7684" max="7684" width="18" style="1" customWidth="1"/>
    <col min="7685" max="7937" width="9.109375" style="1"/>
    <col min="7938" max="7938" width="67.109375" style="1" customWidth="1"/>
    <col min="7939" max="7939" width="31.88671875" style="1" customWidth="1"/>
    <col min="7940" max="7940" width="18" style="1" customWidth="1"/>
    <col min="7941" max="8193" width="9.109375" style="1"/>
    <col min="8194" max="8194" width="67.109375" style="1" customWidth="1"/>
    <col min="8195" max="8195" width="31.88671875" style="1" customWidth="1"/>
    <col min="8196" max="8196" width="18" style="1" customWidth="1"/>
    <col min="8197" max="8449" width="9.109375" style="1"/>
    <col min="8450" max="8450" width="67.109375" style="1" customWidth="1"/>
    <col min="8451" max="8451" width="31.88671875" style="1" customWidth="1"/>
    <col min="8452" max="8452" width="18" style="1" customWidth="1"/>
    <col min="8453" max="8705" width="9.109375" style="1"/>
    <col min="8706" max="8706" width="67.109375" style="1" customWidth="1"/>
    <col min="8707" max="8707" width="31.88671875" style="1" customWidth="1"/>
    <col min="8708" max="8708" width="18" style="1" customWidth="1"/>
    <col min="8709" max="8961" width="9.109375" style="1"/>
    <col min="8962" max="8962" width="67.109375" style="1" customWidth="1"/>
    <col min="8963" max="8963" width="31.88671875" style="1" customWidth="1"/>
    <col min="8964" max="8964" width="18" style="1" customWidth="1"/>
    <col min="8965" max="9217" width="9.109375" style="1"/>
    <col min="9218" max="9218" width="67.109375" style="1" customWidth="1"/>
    <col min="9219" max="9219" width="31.88671875" style="1" customWidth="1"/>
    <col min="9220" max="9220" width="18" style="1" customWidth="1"/>
    <col min="9221" max="9473" width="9.109375" style="1"/>
    <col min="9474" max="9474" width="67.109375" style="1" customWidth="1"/>
    <col min="9475" max="9475" width="31.88671875" style="1" customWidth="1"/>
    <col min="9476" max="9476" width="18" style="1" customWidth="1"/>
    <col min="9477" max="9729" width="9.109375" style="1"/>
    <col min="9730" max="9730" width="67.109375" style="1" customWidth="1"/>
    <col min="9731" max="9731" width="31.88671875" style="1" customWidth="1"/>
    <col min="9732" max="9732" width="18" style="1" customWidth="1"/>
    <col min="9733" max="9985" width="9.109375" style="1"/>
    <col min="9986" max="9986" width="67.109375" style="1" customWidth="1"/>
    <col min="9987" max="9987" width="31.88671875" style="1" customWidth="1"/>
    <col min="9988" max="9988" width="18" style="1" customWidth="1"/>
    <col min="9989" max="10241" width="9.109375" style="1"/>
    <col min="10242" max="10242" width="67.109375" style="1" customWidth="1"/>
    <col min="10243" max="10243" width="31.88671875" style="1" customWidth="1"/>
    <col min="10244" max="10244" width="18" style="1" customWidth="1"/>
    <col min="10245" max="10497" width="9.109375" style="1"/>
    <col min="10498" max="10498" width="67.109375" style="1" customWidth="1"/>
    <col min="10499" max="10499" width="31.88671875" style="1" customWidth="1"/>
    <col min="10500" max="10500" width="18" style="1" customWidth="1"/>
    <col min="10501" max="10753" width="9.109375" style="1"/>
    <col min="10754" max="10754" width="67.109375" style="1" customWidth="1"/>
    <col min="10755" max="10755" width="31.88671875" style="1" customWidth="1"/>
    <col min="10756" max="10756" width="18" style="1" customWidth="1"/>
    <col min="10757" max="11009" width="9.109375" style="1"/>
    <col min="11010" max="11010" width="67.109375" style="1" customWidth="1"/>
    <col min="11011" max="11011" width="31.88671875" style="1" customWidth="1"/>
    <col min="11012" max="11012" width="18" style="1" customWidth="1"/>
    <col min="11013" max="11265" width="9.109375" style="1"/>
    <col min="11266" max="11266" width="67.109375" style="1" customWidth="1"/>
    <col min="11267" max="11267" width="31.88671875" style="1" customWidth="1"/>
    <col min="11268" max="11268" width="18" style="1" customWidth="1"/>
    <col min="11269" max="11521" width="9.109375" style="1"/>
    <col min="11522" max="11522" width="67.109375" style="1" customWidth="1"/>
    <col min="11523" max="11523" width="31.88671875" style="1" customWidth="1"/>
    <col min="11524" max="11524" width="18" style="1" customWidth="1"/>
    <col min="11525" max="11777" width="9.109375" style="1"/>
    <col min="11778" max="11778" width="67.109375" style="1" customWidth="1"/>
    <col min="11779" max="11779" width="31.88671875" style="1" customWidth="1"/>
    <col min="11780" max="11780" width="18" style="1" customWidth="1"/>
    <col min="11781" max="12033" width="9.109375" style="1"/>
    <col min="12034" max="12034" width="67.109375" style="1" customWidth="1"/>
    <col min="12035" max="12035" width="31.88671875" style="1" customWidth="1"/>
    <col min="12036" max="12036" width="18" style="1" customWidth="1"/>
    <col min="12037" max="12289" width="9.109375" style="1"/>
    <col min="12290" max="12290" width="67.109375" style="1" customWidth="1"/>
    <col min="12291" max="12291" width="31.88671875" style="1" customWidth="1"/>
    <col min="12292" max="12292" width="18" style="1" customWidth="1"/>
    <col min="12293" max="12545" width="9.109375" style="1"/>
    <col min="12546" max="12546" width="67.109375" style="1" customWidth="1"/>
    <col min="12547" max="12547" width="31.88671875" style="1" customWidth="1"/>
    <col min="12548" max="12548" width="18" style="1" customWidth="1"/>
    <col min="12549" max="12801" width="9.109375" style="1"/>
    <col min="12802" max="12802" width="67.109375" style="1" customWidth="1"/>
    <col min="12803" max="12803" width="31.88671875" style="1" customWidth="1"/>
    <col min="12804" max="12804" width="18" style="1" customWidth="1"/>
    <col min="12805" max="13057" width="9.109375" style="1"/>
    <col min="13058" max="13058" width="67.109375" style="1" customWidth="1"/>
    <col min="13059" max="13059" width="31.88671875" style="1" customWidth="1"/>
    <col min="13060" max="13060" width="18" style="1" customWidth="1"/>
    <col min="13061" max="13313" width="9.109375" style="1"/>
    <col min="13314" max="13314" width="67.109375" style="1" customWidth="1"/>
    <col min="13315" max="13315" width="31.88671875" style="1" customWidth="1"/>
    <col min="13316" max="13316" width="18" style="1" customWidth="1"/>
    <col min="13317" max="13569" width="9.109375" style="1"/>
    <col min="13570" max="13570" width="67.109375" style="1" customWidth="1"/>
    <col min="13571" max="13571" width="31.88671875" style="1" customWidth="1"/>
    <col min="13572" max="13572" width="18" style="1" customWidth="1"/>
    <col min="13573" max="13825" width="9.109375" style="1"/>
    <col min="13826" max="13826" width="67.109375" style="1" customWidth="1"/>
    <col min="13827" max="13827" width="31.88671875" style="1" customWidth="1"/>
    <col min="13828" max="13828" width="18" style="1" customWidth="1"/>
    <col min="13829" max="14081" width="9.109375" style="1"/>
    <col min="14082" max="14082" width="67.109375" style="1" customWidth="1"/>
    <col min="14083" max="14083" width="31.88671875" style="1" customWidth="1"/>
    <col min="14084" max="14084" width="18" style="1" customWidth="1"/>
    <col min="14085" max="14337" width="9.109375" style="1"/>
    <col min="14338" max="14338" width="67.109375" style="1" customWidth="1"/>
    <col min="14339" max="14339" width="31.88671875" style="1" customWidth="1"/>
    <col min="14340" max="14340" width="18" style="1" customWidth="1"/>
    <col min="14341" max="14593" width="9.109375" style="1"/>
    <col min="14594" max="14594" width="67.109375" style="1" customWidth="1"/>
    <col min="14595" max="14595" width="31.88671875" style="1" customWidth="1"/>
    <col min="14596" max="14596" width="18" style="1" customWidth="1"/>
    <col min="14597" max="14849" width="9.109375" style="1"/>
    <col min="14850" max="14850" width="67.109375" style="1" customWidth="1"/>
    <col min="14851" max="14851" width="31.88671875" style="1" customWidth="1"/>
    <col min="14852" max="14852" width="18" style="1" customWidth="1"/>
    <col min="14853" max="15105" width="9.109375" style="1"/>
    <col min="15106" max="15106" width="67.109375" style="1" customWidth="1"/>
    <col min="15107" max="15107" width="31.88671875" style="1" customWidth="1"/>
    <col min="15108" max="15108" width="18" style="1" customWidth="1"/>
    <col min="15109" max="15361" width="9.109375" style="1"/>
    <col min="15362" max="15362" width="67.109375" style="1" customWidth="1"/>
    <col min="15363" max="15363" width="31.88671875" style="1" customWidth="1"/>
    <col min="15364" max="15364" width="18" style="1" customWidth="1"/>
    <col min="15365" max="15617" width="9.109375" style="1"/>
    <col min="15618" max="15618" width="67.109375" style="1" customWidth="1"/>
    <col min="15619" max="15619" width="31.88671875" style="1" customWidth="1"/>
    <col min="15620" max="15620" width="18" style="1" customWidth="1"/>
    <col min="15621" max="15873" width="9.109375" style="1"/>
    <col min="15874" max="15874" width="67.109375" style="1" customWidth="1"/>
    <col min="15875" max="15875" width="31.88671875" style="1" customWidth="1"/>
    <col min="15876" max="15876" width="18" style="1" customWidth="1"/>
    <col min="15877" max="16129" width="9.109375" style="1"/>
    <col min="16130" max="16130" width="67.109375" style="1" customWidth="1"/>
    <col min="16131" max="16131" width="31.88671875" style="1" customWidth="1"/>
    <col min="16132" max="16132" width="18" style="1" customWidth="1"/>
    <col min="16133" max="16384" width="9.109375" style="1"/>
  </cols>
  <sheetData>
    <row r="1" spans="1:20" ht="28.5" customHeight="1" x14ac:dyDescent="0.3">
      <c r="A1" s="16" t="s">
        <v>147</v>
      </c>
      <c r="D1" s="2"/>
      <c r="E1" s="3"/>
      <c r="F1" s="3"/>
      <c r="G1" s="3"/>
      <c r="H1" s="3"/>
    </row>
    <row r="2" spans="1:20" ht="70.5" customHeight="1" x14ac:dyDescent="0.3">
      <c r="A2" s="22" t="s">
        <v>171</v>
      </c>
      <c r="B2" s="22"/>
      <c r="C2" s="22"/>
      <c r="D2" s="22"/>
      <c r="E2" s="22"/>
      <c r="F2" s="22"/>
      <c r="G2" s="3"/>
      <c r="H2" s="3"/>
    </row>
    <row r="3" spans="1:20" ht="15" thickBot="1" x14ac:dyDescent="0.35"/>
    <row r="4" spans="1:20" ht="15.15" customHeight="1" x14ac:dyDescent="0.3">
      <c r="A4" s="151" t="s">
        <v>252</v>
      </c>
      <c r="B4" s="151" t="s">
        <v>172</v>
      </c>
      <c r="C4" s="154" t="s">
        <v>250</v>
      </c>
      <c r="D4" s="155"/>
    </row>
    <row r="5" spans="1:20" ht="13.5" customHeight="1" x14ac:dyDescent="0.3">
      <c r="A5" s="152"/>
      <c r="B5" s="152"/>
      <c r="C5" s="156"/>
      <c r="D5" s="157"/>
    </row>
    <row r="6" spans="1:20" ht="15" thickBot="1" x14ac:dyDescent="0.35">
      <c r="A6" s="153"/>
      <c r="B6" s="153"/>
      <c r="C6" s="158"/>
      <c r="D6" s="159"/>
    </row>
    <row r="7" spans="1:20" ht="12.75" customHeight="1" thickBot="1" x14ac:dyDescent="0.35">
      <c r="A7" s="144"/>
      <c r="B7" s="144" t="s">
        <v>173</v>
      </c>
      <c r="C7" s="145">
        <v>38</v>
      </c>
      <c r="D7" s="146"/>
    </row>
    <row r="8" spans="1:20" ht="12.75" customHeight="1" thickBot="1" x14ac:dyDescent="0.35">
      <c r="A8" s="144"/>
      <c r="B8" s="144"/>
      <c r="C8" s="147"/>
      <c r="D8" s="148"/>
    </row>
    <row r="9" spans="1:20" ht="12.75" customHeight="1" thickBot="1" x14ac:dyDescent="0.35">
      <c r="A9" s="144"/>
      <c r="B9" s="144"/>
      <c r="C9" s="147"/>
      <c r="D9" s="148"/>
    </row>
    <row r="10" spans="1:20" ht="12.75" customHeight="1" thickBot="1" x14ac:dyDescent="0.35">
      <c r="A10" s="144"/>
      <c r="B10" s="144"/>
      <c r="C10" s="147"/>
      <c r="D10" s="148"/>
      <c r="E10" s="185">
        <v>99.88</v>
      </c>
      <c r="F10" s="186">
        <f>E10/5.3</f>
        <v>18.850000000000001</v>
      </c>
      <c r="G10" s="187">
        <f>C7-F10</f>
        <v>19.149999999999999</v>
      </c>
      <c r="H10" s="188">
        <f>G10/C7</f>
        <v>0.50390000000000001</v>
      </c>
      <c r="I10" s="24"/>
      <c r="J10" s="24"/>
      <c r="K10" s="24"/>
      <c r="L10" s="24"/>
      <c r="M10" s="115"/>
      <c r="N10" s="115"/>
      <c r="O10" s="115"/>
      <c r="P10" s="115"/>
      <c r="Q10" s="111"/>
      <c r="R10" s="111"/>
      <c r="S10" s="111"/>
      <c r="T10" s="111"/>
    </row>
    <row r="11" spans="1:20" ht="12.75" customHeight="1" thickBot="1" x14ac:dyDescent="0.35">
      <c r="A11" s="144"/>
      <c r="B11" s="144"/>
      <c r="C11" s="147"/>
      <c r="D11" s="148"/>
      <c r="E11" s="185"/>
      <c r="F11" s="186"/>
      <c r="G11" s="187"/>
      <c r="H11" s="188"/>
    </row>
    <row r="12" spans="1:20" ht="12.75" customHeight="1" thickBot="1" x14ac:dyDescent="0.35">
      <c r="A12" s="144"/>
      <c r="B12" s="144"/>
      <c r="C12" s="147"/>
      <c r="D12" s="148"/>
      <c r="E12" s="185"/>
      <c r="F12" s="186"/>
      <c r="G12" s="187"/>
      <c r="H12" s="188"/>
    </row>
    <row r="13" spans="1:20" ht="12.75" customHeight="1" thickBot="1" x14ac:dyDescent="0.35">
      <c r="A13" s="144"/>
      <c r="B13" s="144"/>
      <c r="C13" s="147"/>
      <c r="D13" s="148"/>
      <c r="E13" s="117"/>
      <c r="F13" s="117"/>
      <c r="G13" s="117"/>
      <c r="H13" s="112"/>
    </row>
    <row r="14" spans="1:20" ht="12.75" customHeight="1" thickBot="1" x14ac:dyDescent="0.35">
      <c r="A14" s="144"/>
      <c r="B14" s="144"/>
      <c r="C14" s="147"/>
      <c r="D14" s="148"/>
      <c r="E14" s="117"/>
      <c r="F14" s="117"/>
      <c r="G14" s="117"/>
      <c r="H14" s="112"/>
    </row>
    <row r="15" spans="1:20" ht="12.75" customHeight="1" thickBot="1" x14ac:dyDescent="0.35">
      <c r="A15" s="144"/>
      <c r="B15" s="144"/>
      <c r="C15" s="147"/>
      <c r="D15" s="148"/>
      <c r="E15" s="117"/>
      <c r="F15" s="117"/>
      <c r="G15" s="117"/>
      <c r="H15" s="112"/>
    </row>
    <row r="16" spans="1:20" ht="13.5" customHeight="1" thickBot="1" x14ac:dyDescent="0.35">
      <c r="A16" s="144"/>
      <c r="B16" s="144"/>
      <c r="C16" s="149"/>
      <c r="D16" s="150"/>
      <c r="E16" s="117"/>
      <c r="F16" s="117"/>
      <c r="G16" s="117"/>
      <c r="H16" s="112"/>
    </row>
    <row r="17" spans="1:8" ht="12.15" customHeight="1" thickBot="1" x14ac:dyDescent="0.35">
      <c r="A17" s="144"/>
      <c r="B17" s="144" t="s">
        <v>174</v>
      </c>
      <c r="C17" s="145">
        <v>51.96</v>
      </c>
      <c r="D17" s="146"/>
      <c r="E17" s="117"/>
      <c r="F17" s="117"/>
      <c r="G17" s="117"/>
      <c r="H17" s="112"/>
    </row>
    <row r="18" spans="1:8" ht="15.75" customHeight="1" thickBot="1" x14ac:dyDescent="0.35">
      <c r="A18" s="144"/>
      <c r="B18" s="144"/>
      <c r="C18" s="147"/>
      <c r="D18" s="148"/>
      <c r="E18" s="117"/>
      <c r="F18" s="117"/>
      <c r="G18" s="117"/>
      <c r="H18" s="112"/>
    </row>
    <row r="19" spans="1:8" ht="15.75" customHeight="1" thickBot="1" x14ac:dyDescent="0.35">
      <c r="A19" s="144"/>
      <c r="B19" s="144"/>
      <c r="C19" s="147"/>
      <c r="D19" s="148"/>
      <c r="E19" s="117"/>
      <c r="F19" s="117"/>
      <c r="G19" s="117"/>
      <c r="H19" s="112"/>
    </row>
    <row r="20" spans="1:8" ht="15.75" customHeight="1" thickBot="1" x14ac:dyDescent="0.35">
      <c r="A20" s="144"/>
      <c r="B20" s="144"/>
      <c r="C20" s="147"/>
      <c r="D20" s="148"/>
      <c r="E20" s="117"/>
      <c r="F20" s="117"/>
      <c r="G20" s="117"/>
      <c r="H20" s="112"/>
    </row>
    <row r="21" spans="1:8" ht="15.75" customHeight="1" thickBot="1" x14ac:dyDescent="0.35">
      <c r="A21" s="144"/>
      <c r="B21" s="144"/>
      <c r="C21" s="147"/>
      <c r="D21" s="148"/>
      <c r="E21" s="185">
        <v>137.63999999999999</v>
      </c>
      <c r="F21" s="186">
        <f>E21/5.3</f>
        <v>25.97</v>
      </c>
      <c r="G21" s="187">
        <f>C17-F21</f>
        <v>25.99</v>
      </c>
      <c r="H21" s="188">
        <f>G21/C17</f>
        <v>0.50019999999999998</v>
      </c>
    </row>
    <row r="22" spans="1:8" ht="15.75" customHeight="1" thickBot="1" x14ac:dyDescent="0.35">
      <c r="A22" s="144"/>
      <c r="B22" s="144"/>
      <c r="C22" s="147"/>
      <c r="D22" s="148"/>
      <c r="E22" s="185"/>
      <c r="F22" s="186"/>
      <c r="G22" s="187"/>
      <c r="H22" s="188"/>
    </row>
    <row r="23" spans="1:8" ht="15.75" customHeight="1" thickBot="1" x14ac:dyDescent="0.35">
      <c r="A23" s="144"/>
      <c r="B23" s="144"/>
      <c r="C23" s="147"/>
      <c r="D23" s="148"/>
      <c r="E23" s="185"/>
      <c r="F23" s="186"/>
      <c r="G23" s="187"/>
      <c r="H23" s="188"/>
    </row>
    <row r="24" spans="1:8" ht="15.75" customHeight="1" thickBot="1" x14ac:dyDescent="0.35">
      <c r="A24" s="144"/>
      <c r="B24" s="144"/>
      <c r="C24" s="147"/>
      <c r="D24" s="148"/>
      <c r="E24" s="117"/>
      <c r="F24" s="117"/>
      <c r="G24" s="117"/>
      <c r="H24" s="112"/>
    </row>
    <row r="25" spans="1:8" ht="15.75" customHeight="1" thickBot="1" x14ac:dyDescent="0.35">
      <c r="A25" s="144"/>
      <c r="B25" s="144"/>
      <c r="C25" s="147"/>
      <c r="D25" s="148"/>
      <c r="E25" s="117"/>
      <c r="F25" s="117"/>
      <c r="G25" s="117"/>
      <c r="H25" s="112"/>
    </row>
    <row r="26" spans="1:8" ht="15.75" customHeight="1" thickBot="1" x14ac:dyDescent="0.35">
      <c r="A26" s="144"/>
      <c r="B26" s="144"/>
      <c r="C26" s="149"/>
      <c r="D26" s="150"/>
      <c r="E26" s="117"/>
      <c r="F26" s="117"/>
      <c r="G26" s="117"/>
      <c r="H26" s="112"/>
    </row>
    <row r="27" spans="1:8" ht="12.15" customHeight="1" thickBot="1" x14ac:dyDescent="0.35">
      <c r="A27" s="144"/>
      <c r="B27" s="144" t="s">
        <v>175</v>
      </c>
      <c r="C27" s="145">
        <v>48.96</v>
      </c>
      <c r="D27" s="146"/>
      <c r="E27" s="117"/>
      <c r="F27" s="117"/>
      <c r="G27" s="117"/>
      <c r="H27" s="112"/>
    </row>
    <row r="28" spans="1:8" ht="15.75" customHeight="1" thickBot="1" x14ac:dyDescent="0.35">
      <c r="A28" s="144"/>
      <c r="B28" s="144"/>
      <c r="C28" s="147"/>
      <c r="D28" s="148"/>
      <c r="E28" s="117"/>
      <c r="F28" s="117"/>
      <c r="G28" s="117"/>
      <c r="H28" s="112"/>
    </row>
    <row r="29" spans="1:8" ht="15.75" customHeight="1" thickBot="1" x14ac:dyDescent="0.35">
      <c r="A29" s="144"/>
      <c r="B29" s="144"/>
      <c r="C29" s="147"/>
      <c r="D29" s="148"/>
      <c r="E29" s="117"/>
      <c r="F29" s="117"/>
      <c r="G29" s="117"/>
      <c r="H29" s="112"/>
    </row>
    <row r="30" spans="1:8" ht="15.75" customHeight="1" thickBot="1" x14ac:dyDescent="0.35">
      <c r="A30" s="144"/>
      <c r="B30" s="144"/>
      <c r="C30" s="147"/>
      <c r="D30" s="148"/>
      <c r="E30" s="117"/>
      <c r="F30" s="117"/>
      <c r="G30" s="117"/>
      <c r="H30" s="112"/>
    </row>
    <row r="31" spans="1:8" ht="15.75" customHeight="1" thickBot="1" x14ac:dyDescent="0.35">
      <c r="A31" s="144"/>
      <c r="B31" s="144"/>
      <c r="C31" s="147"/>
      <c r="D31" s="148"/>
      <c r="E31" s="185">
        <v>127.62</v>
      </c>
      <c r="F31" s="186">
        <f>E31/5.3</f>
        <v>24.08</v>
      </c>
      <c r="G31" s="187">
        <f>C27-F31</f>
        <v>24.88</v>
      </c>
      <c r="H31" s="188">
        <f>G31/C27</f>
        <v>0.50819999999999999</v>
      </c>
    </row>
    <row r="32" spans="1:8" ht="15.75" customHeight="1" thickBot="1" x14ac:dyDescent="0.35">
      <c r="A32" s="144"/>
      <c r="B32" s="144"/>
      <c r="C32" s="147"/>
      <c r="D32" s="148"/>
      <c r="E32" s="185"/>
      <c r="F32" s="186"/>
      <c r="G32" s="187"/>
      <c r="H32" s="188"/>
    </row>
    <row r="33" spans="1:8" ht="15.75" customHeight="1" thickBot="1" x14ac:dyDescent="0.35">
      <c r="A33" s="144"/>
      <c r="B33" s="144"/>
      <c r="C33" s="147"/>
      <c r="D33" s="148"/>
      <c r="E33" s="185"/>
      <c r="F33" s="186"/>
      <c r="G33" s="187"/>
      <c r="H33" s="188"/>
    </row>
    <row r="34" spans="1:8" ht="15.75" customHeight="1" thickBot="1" x14ac:dyDescent="0.35">
      <c r="A34" s="144"/>
      <c r="B34" s="144"/>
      <c r="C34" s="147"/>
      <c r="D34" s="148"/>
      <c r="E34" s="117"/>
      <c r="F34" s="117"/>
      <c r="G34" s="117"/>
      <c r="H34" s="112"/>
    </row>
    <row r="35" spans="1:8" ht="15.75" customHeight="1" thickBot="1" x14ac:dyDescent="0.35">
      <c r="A35" s="144"/>
      <c r="B35" s="144"/>
      <c r="C35" s="147"/>
      <c r="D35" s="148"/>
      <c r="E35" s="117"/>
      <c r="F35" s="117"/>
      <c r="G35" s="117"/>
      <c r="H35" s="112"/>
    </row>
    <row r="36" spans="1:8" ht="15.75" customHeight="1" thickBot="1" x14ac:dyDescent="0.35">
      <c r="A36" s="144"/>
      <c r="B36" s="144"/>
      <c r="C36" s="149"/>
      <c r="D36" s="150"/>
      <c r="E36" s="117"/>
      <c r="F36" s="117"/>
      <c r="G36" s="117"/>
      <c r="H36" s="112"/>
    </row>
    <row r="37" spans="1:8" ht="12.15" customHeight="1" thickBot="1" x14ac:dyDescent="0.35">
      <c r="A37" s="144"/>
      <c r="B37" s="144" t="s">
        <v>176</v>
      </c>
      <c r="C37" s="145">
        <v>66.72</v>
      </c>
      <c r="D37" s="146"/>
      <c r="E37" s="117"/>
      <c r="F37" s="117"/>
      <c r="G37" s="117"/>
      <c r="H37" s="112"/>
    </row>
    <row r="38" spans="1:8" ht="15.75" customHeight="1" thickBot="1" x14ac:dyDescent="0.35">
      <c r="A38" s="144"/>
      <c r="B38" s="144"/>
      <c r="C38" s="147"/>
      <c r="D38" s="148"/>
      <c r="E38" s="117"/>
      <c r="F38" s="117"/>
      <c r="G38" s="117"/>
      <c r="H38" s="112"/>
    </row>
    <row r="39" spans="1:8" ht="15.75" customHeight="1" thickBot="1" x14ac:dyDescent="0.35">
      <c r="A39" s="144"/>
      <c r="B39" s="144"/>
      <c r="C39" s="147"/>
      <c r="D39" s="148"/>
      <c r="E39" s="117"/>
      <c r="F39" s="117"/>
      <c r="G39" s="117"/>
      <c r="H39" s="112"/>
    </row>
    <row r="40" spans="1:8" ht="15.75" customHeight="1" thickBot="1" x14ac:dyDescent="0.35">
      <c r="A40" s="144"/>
      <c r="B40" s="144"/>
      <c r="C40" s="147"/>
      <c r="D40" s="148"/>
      <c r="E40" s="117"/>
      <c r="F40" s="117"/>
      <c r="G40" s="117"/>
      <c r="H40" s="112"/>
    </row>
    <row r="41" spans="1:8" ht="15.75" customHeight="1" thickBot="1" x14ac:dyDescent="0.35">
      <c r="A41" s="144"/>
      <c r="B41" s="144"/>
      <c r="C41" s="147"/>
      <c r="D41" s="148"/>
      <c r="E41" s="185">
        <v>173.44</v>
      </c>
      <c r="F41" s="186">
        <f>E41/5.3</f>
        <v>32.72</v>
      </c>
      <c r="G41" s="187">
        <f>C37-F41</f>
        <v>34</v>
      </c>
      <c r="H41" s="188">
        <f>G41/C37</f>
        <v>0.50960000000000005</v>
      </c>
    </row>
    <row r="42" spans="1:8" ht="15.75" customHeight="1" thickBot="1" x14ac:dyDescent="0.35">
      <c r="A42" s="144"/>
      <c r="B42" s="144"/>
      <c r="C42" s="147"/>
      <c r="D42" s="148"/>
      <c r="E42" s="185"/>
      <c r="F42" s="186"/>
      <c r="G42" s="187"/>
      <c r="H42" s="188"/>
    </row>
    <row r="43" spans="1:8" ht="15.75" customHeight="1" thickBot="1" x14ac:dyDescent="0.35">
      <c r="A43" s="144"/>
      <c r="B43" s="144"/>
      <c r="C43" s="147"/>
      <c r="D43" s="148"/>
      <c r="E43" s="185"/>
      <c r="F43" s="186"/>
      <c r="G43" s="187"/>
      <c r="H43" s="188"/>
    </row>
    <row r="44" spans="1:8" ht="15.75" customHeight="1" thickBot="1" x14ac:dyDescent="0.35">
      <c r="A44" s="144"/>
      <c r="B44" s="144"/>
      <c r="C44" s="147"/>
      <c r="D44" s="148"/>
      <c r="E44" s="117"/>
      <c r="F44" s="117"/>
      <c r="G44" s="117"/>
      <c r="H44" s="112"/>
    </row>
    <row r="45" spans="1:8" ht="15.75" customHeight="1" thickBot="1" x14ac:dyDescent="0.35">
      <c r="A45" s="144"/>
      <c r="B45" s="144"/>
      <c r="C45" s="147"/>
      <c r="D45" s="148"/>
      <c r="E45" s="117"/>
      <c r="F45" s="117"/>
      <c r="G45" s="117"/>
      <c r="H45" s="112"/>
    </row>
    <row r="46" spans="1:8" ht="15.75" customHeight="1" thickBot="1" x14ac:dyDescent="0.35">
      <c r="A46" s="144"/>
      <c r="B46" s="144"/>
      <c r="C46" s="149"/>
      <c r="D46" s="150"/>
      <c r="E46" s="117"/>
      <c r="F46" s="117"/>
      <c r="G46" s="117"/>
      <c r="H46" s="112"/>
    </row>
    <row r="47" spans="1:8" ht="12.15" customHeight="1" thickBot="1" x14ac:dyDescent="0.35">
      <c r="A47" s="144"/>
      <c r="B47" s="144" t="s">
        <v>177</v>
      </c>
      <c r="C47" s="145">
        <v>41.6</v>
      </c>
      <c r="D47" s="146"/>
      <c r="E47" s="117"/>
      <c r="F47" s="117"/>
      <c r="G47" s="117"/>
      <c r="H47" s="112"/>
    </row>
    <row r="48" spans="1:8" ht="15.75" customHeight="1" thickBot="1" x14ac:dyDescent="0.35">
      <c r="A48" s="144"/>
      <c r="B48" s="144"/>
      <c r="C48" s="147"/>
      <c r="D48" s="148"/>
      <c r="E48" s="117"/>
      <c r="F48" s="117"/>
      <c r="G48" s="117"/>
      <c r="H48" s="112"/>
    </row>
    <row r="49" spans="1:8" ht="15.75" customHeight="1" thickBot="1" x14ac:dyDescent="0.35">
      <c r="A49" s="144"/>
      <c r="B49" s="144"/>
      <c r="C49" s="147"/>
      <c r="D49" s="148"/>
      <c r="E49" s="117"/>
      <c r="F49" s="117"/>
      <c r="G49" s="117"/>
      <c r="H49" s="112"/>
    </row>
    <row r="50" spans="1:8" ht="15.75" customHeight="1" thickBot="1" x14ac:dyDescent="0.35">
      <c r="A50" s="144"/>
      <c r="B50" s="144"/>
      <c r="C50" s="147"/>
      <c r="D50" s="148"/>
      <c r="E50" s="185">
        <v>109.22</v>
      </c>
      <c r="F50" s="186">
        <f>E50/5.3</f>
        <v>20.61</v>
      </c>
      <c r="G50" s="187">
        <f>C47-F50</f>
        <v>20.99</v>
      </c>
      <c r="H50" s="188">
        <f>G50/C47</f>
        <v>0.50460000000000005</v>
      </c>
    </row>
    <row r="51" spans="1:8" ht="15.75" customHeight="1" thickBot="1" x14ac:dyDescent="0.35">
      <c r="A51" s="144"/>
      <c r="B51" s="144"/>
      <c r="C51" s="147"/>
      <c r="D51" s="148"/>
      <c r="E51" s="185"/>
      <c r="F51" s="186"/>
      <c r="G51" s="187"/>
      <c r="H51" s="188"/>
    </row>
    <row r="52" spans="1:8" ht="15.75" customHeight="1" thickBot="1" x14ac:dyDescent="0.35">
      <c r="A52" s="144"/>
      <c r="B52" s="144"/>
      <c r="C52" s="147"/>
      <c r="D52" s="148"/>
      <c r="E52" s="185"/>
      <c r="F52" s="186"/>
      <c r="G52" s="187"/>
      <c r="H52" s="188"/>
    </row>
    <row r="53" spans="1:8" ht="15.75" customHeight="1" thickBot="1" x14ac:dyDescent="0.35">
      <c r="A53" s="144"/>
      <c r="B53" s="144"/>
      <c r="C53" s="147"/>
      <c r="D53" s="148"/>
      <c r="E53" s="117"/>
      <c r="F53" s="117"/>
      <c r="G53" s="117"/>
      <c r="H53" s="112"/>
    </row>
    <row r="54" spans="1:8" ht="15.75" customHeight="1" thickBot="1" x14ac:dyDescent="0.35">
      <c r="A54" s="144"/>
      <c r="B54" s="144"/>
      <c r="C54" s="147"/>
      <c r="D54" s="148"/>
      <c r="E54" s="117"/>
      <c r="F54" s="117"/>
      <c r="G54" s="117"/>
      <c r="H54" s="112"/>
    </row>
    <row r="55" spans="1:8" ht="15.75" customHeight="1" thickBot="1" x14ac:dyDescent="0.35">
      <c r="A55" s="144"/>
      <c r="B55" s="144"/>
      <c r="C55" s="149"/>
      <c r="D55" s="150"/>
      <c r="E55" s="117"/>
      <c r="F55" s="117"/>
      <c r="G55" s="117"/>
      <c r="H55" s="112"/>
    </row>
    <row r="56" spans="1:8" ht="12.15" customHeight="1" thickBot="1" x14ac:dyDescent="0.35">
      <c r="A56" s="144"/>
      <c r="B56" s="144" t="s">
        <v>178</v>
      </c>
      <c r="C56" s="145">
        <v>56.88</v>
      </c>
      <c r="D56" s="146"/>
      <c r="E56" s="117"/>
      <c r="F56" s="117"/>
      <c r="G56" s="117"/>
      <c r="H56" s="112"/>
    </row>
    <row r="57" spans="1:8" ht="15.75" customHeight="1" thickBot="1" x14ac:dyDescent="0.35">
      <c r="A57" s="144"/>
      <c r="B57" s="144"/>
      <c r="C57" s="147"/>
      <c r="D57" s="148"/>
      <c r="E57" s="117"/>
      <c r="F57" s="117"/>
      <c r="G57" s="117"/>
      <c r="H57" s="112"/>
    </row>
    <row r="58" spans="1:8" ht="15.75" customHeight="1" thickBot="1" x14ac:dyDescent="0.35">
      <c r="A58" s="144"/>
      <c r="B58" s="144"/>
      <c r="C58" s="147"/>
      <c r="D58" s="148"/>
      <c r="E58" s="117"/>
      <c r="F58" s="117"/>
      <c r="G58" s="117"/>
      <c r="H58" s="112"/>
    </row>
    <row r="59" spans="1:8" ht="15.75" customHeight="1" thickBot="1" x14ac:dyDescent="0.35">
      <c r="A59" s="144"/>
      <c r="B59" s="144"/>
      <c r="C59" s="147"/>
      <c r="D59" s="148"/>
      <c r="E59" s="185">
        <v>143.24</v>
      </c>
      <c r="F59" s="186">
        <f>E59/5.3</f>
        <v>27.03</v>
      </c>
      <c r="G59" s="187">
        <f>C56-F59</f>
        <v>29.85</v>
      </c>
      <c r="H59" s="188">
        <f>G59/C56</f>
        <v>0.52480000000000004</v>
      </c>
    </row>
    <row r="60" spans="1:8" ht="15.75" customHeight="1" thickBot="1" x14ac:dyDescent="0.35">
      <c r="A60" s="144"/>
      <c r="B60" s="144"/>
      <c r="C60" s="147"/>
      <c r="D60" s="148"/>
      <c r="E60" s="185"/>
      <c r="F60" s="186"/>
      <c r="G60" s="187"/>
      <c r="H60" s="188"/>
    </row>
    <row r="61" spans="1:8" ht="15.75" customHeight="1" thickBot="1" x14ac:dyDescent="0.35">
      <c r="A61" s="144"/>
      <c r="B61" s="144"/>
      <c r="C61" s="147"/>
      <c r="D61" s="148"/>
      <c r="E61" s="185"/>
      <c r="F61" s="186"/>
      <c r="G61" s="187"/>
      <c r="H61" s="188"/>
    </row>
    <row r="62" spans="1:8" ht="15.75" customHeight="1" thickBot="1" x14ac:dyDescent="0.35">
      <c r="A62" s="144"/>
      <c r="B62" s="144"/>
      <c r="C62" s="147"/>
      <c r="D62" s="148"/>
      <c r="E62" s="117"/>
      <c r="F62" s="117"/>
      <c r="G62" s="117"/>
      <c r="H62" s="112"/>
    </row>
    <row r="63" spans="1:8" ht="15.75" customHeight="1" thickBot="1" x14ac:dyDescent="0.35">
      <c r="A63" s="144"/>
      <c r="B63" s="144"/>
      <c r="C63" s="147"/>
      <c r="D63" s="148"/>
      <c r="E63" s="117"/>
      <c r="F63" s="117"/>
      <c r="G63" s="117"/>
      <c r="H63" s="112"/>
    </row>
    <row r="64" spans="1:8" ht="15.75" customHeight="1" thickBot="1" x14ac:dyDescent="0.35">
      <c r="A64" s="144"/>
      <c r="B64" s="144"/>
      <c r="C64" s="149"/>
      <c r="D64" s="150"/>
      <c r="E64" s="117"/>
      <c r="F64" s="117"/>
      <c r="G64" s="117"/>
      <c r="H64" s="112"/>
    </row>
    <row r="65" spans="1:8" ht="12.15" customHeight="1" thickBot="1" x14ac:dyDescent="0.35">
      <c r="A65" s="144"/>
      <c r="B65" s="144" t="s">
        <v>179</v>
      </c>
      <c r="C65" s="145">
        <v>81.7</v>
      </c>
      <c r="D65" s="146"/>
      <c r="E65" s="117"/>
      <c r="F65" s="117"/>
      <c r="G65" s="117"/>
      <c r="H65" s="112"/>
    </row>
    <row r="66" spans="1:8" ht="12.75" customHeight="1" thickBot="1" x14ac:dyDescent="0.35">
      <c r="A66" s="144"/>
      <c r="B66" s="144"/>
      <c r="C66" s="147"/>
      <c r="D66" s="148"/>
      <c r="E66" s="117"/>
      <c r="F66" s="117"/>
      <c r="G66" s="117"/>
      <c r="H66" s="112"/>
    </row>
    <row r="67" spans="1:8" ht="12.75" customHeight="1" thickBot="1" x14ac:dyDescent="0.35">
      <c r="A67" s="144"/>
      <c r="B67" s="144"/>
      <c r="C67" s="147"/>
      <c r="D67" s="148"/>
      <c r="E67" s="117"/>
      <c r="F67" s="117"/>
      <c r="G67" s="117"/>
      <c r="H67" s="112"/>
    </row>
    <row r="68" spans="1:8" ht="20.25" customHeight="1" thickBot="1" x14ac:dyDescent="0.35">
      <c r="A68" s="144"/>
      <c r="B68" s="144"/>
      <c r="C68" s="147"/>
      <c r="D68" s="148"/>
      <c r="E68" s="185">
        <v>179.22</v>
      </c>
      <c r="F68" s="186">
        <f>E68/5.3</f>
        <v>33.82</v>
      </c>
      <c r="G68" s="187">
        <f>C65-F68</f>
        <v>47.88</v>
      </c>
      <c r="H68" s="188">
        <f>G68/C65</f>
        <v>0.58599999999999997</v>
      </c>
    </row>
    <row r="69" spans="1:8" ht="12.75" customHeight="1" thickBot="1" x14ac:dyDescent="0.35">
      <c r="A69" s="144"/>
      <c r="B69" s="144"/>
      <c r="C69" s="147"/>
      <c r="D69" s="148"/>
      <c r="E69" s="185"/>
      <c r="F69" s="186"/>
      <c r="G69" s="187"/>
      <c r="H69" s="188"/>
    </row>
    <row r="70" spans="1:8" ht="12.75" customHeight="1" thickBot="1" x14ac:dyDescent="0.35">
      <c r="A70" s="144"/>
      <c r="B70" s="144"/>
      <c r="C70" s="147"/>
      <c r="D70" s="148"/>
      <c r="E70" s="185"/>
      <c r="F70" s="186"/>
      <c r="G70" s="187"/>
      <c r="H70" s="188"/>
    </row>
    <row r="71" spans="1:8" ht="12.75" customHeight="1" thickBot="1" x14ac:dyDescent="0.35">
      <c r="A71" s="144"/>
      <c r="B71" s="144"/>
      <c r="C71" s="147"/>
      <c r="D71" s="148"/>
      <c r="E71" s="117"/>
      <c r="F71" s="117"/>
      <c r="G71" s="117"/>
      <c r="H71" s="112"/>
    </row>
    <row r="72" spans="1:8" ht="13.5" customHeight="1" thickBot="1" x14ac:dyDescent="0.35">
      <c r="A72" s="144"/>
      <c r="B72" s="144"/>
      <c r="C72" s="147"/>
      <c r="D72" s="148"/>
      <c r="E72" s="117"/>
      <c r="F72" s="117"/>
      <c r="G72" s="117"/>
      <c r="H72" s="112"/>
    </row>
    <row r="73" spans="1:8" ht="13.5" customHeight="1" thickBot="1" x14ac:dyDescent="0.35">
      <c r="A73" s="144"/>
      <c r="B73" s="144"/>
      <c r="C73" s="149"/>
      <c r="D73" s="150"/>
      <c r="E73" s="117"/>
      <c r="F73" s="117"/>
      <c r="G73" s="117"/>
      <c r="H73" s="112"/>
    </row>
    <row r="74" spans="1:8" ht="12.15" hidden="1" customHeight="1" x14ac:dyDescent="0.3">
      <c r="A74" s="144"/>
      <c r="B74" s="144"/>
      <c r="C74" s="23"/>
      <c r="D74" s="194">
        <v>97</v>
      </c>
      <c r="E74" s="117"/>
      <c r="F74" s="117"/>
      <c r="G74" s="117"/>
      <c r="H74" s="112"/>
    </row>
    <row r="75" spans="1:8" ht="15" hidden="1" thickBot="1" x14ac:dyDescent="0.35">
      <c r="A75" s="144"/>
      <c r="B75" s="144"/>
      <c r="C75" s="23"/>
      <c r="D75" s="194"/>
      <c r="E75" s="117"/>
      <c r="F75" s="117"/>
      <c r="G75" s="117"/>
      <c r="H75" s="112"/>
    </row>
    <row r="76" spans="1:8" ht="15" hidden="1" thickBot="1" x14ac:dyDescent="0.35">
      <c r="A76" s="144"/>
      <c r="B76" s="144"/>
      <c r="C76" s="23"/>
      <c r="D76" s="194"/>
      <c r="E76" s="117"/>
      <c r="F76" s="117"/>
      <c r="G76" s="117"/>
      <c r="H76" s="112"/>
    </row>
    <row r="77" spans="1:8" ht="15" hidden="1" thickBot="1" x14ac:dyDescent="0.35">
      <c r="A77" s="144"/>
      <c r="B77" s="144"/>
      <c r="C77" s="23"/>
      <c r="D77" s="194"/>
      <c r="E77" s="117"/>
      <c r="F77" s="117"/>
      <c r="G77" s="117"/>
      <c r="H77" s="112"/>
    </row>
    <row r="78" spans="1:8" ht="15" hidden="1" thickBot="1" x14ac:dyDescent="0.35">
      <c r="A78" s="144"/>
      <c r="B78" s="144"/>
      <c r="C78" s="23"/>
      <c r="D78" s="194"/>
      <c r="E78" s="117"/>
      <c r="F78" s="117"/>
      <c r="G78" s="117"/>
      <c r="H78" s="112"/>
    </row>
    <row r="79" spans="1:8" ht="15" hidden="1" thickBot="1" x14ac:dyDescent="0.35">
      <c r="A79" s="144"/>
      <c r="B79" s="144"/>
      <c r="C79" s="23"/>
      <c r="D79" s="194"/>
      <c r="E79" s="117"/>
      <c r="F79" s="117"/>
      <c r="G79" s="117"/>
      <c r="H79" s="112"/>
    </row>
    <row r="80" spans="1:8" ht="15" hidden="1" thickBot="1" x14ac:dyDescent="0.35">
      <c r="A80" s="144"/>
      <c r="B80" s="144"/>
      <c r="C80" s="23"/>
      <c r="D80" s="194"/>
      <c r="E80" s="117"/>
      <c r="F80" s="117"/>
      <c r="G80" s="117"/>
      <c r="H80" s="112"/>
    </row>
    <row r="81" spans="1:8" ht="15" hidden="1" thickBot="1" x14ac:dyDescent="0.35">
      <c r="A81" s="144"/>
      <c r="B81" s="144"/>
      <c r="C81" s="23"/>
      <c r="D81" s="194"/>
      <c r="E81" s="117"/>
      <c r="F81" s="117"/>
      <c r="G81" s="117"/>
      <c r="H81" s="112"/>
    </row>
    <row r="82" spans="1:8" ht="15" hidden="1" thickBot="1" x14ac:dyDescent="0.35">
      <c r="A82" s="144"/>
      <c r="B82" s="144"/>
      <c r="C82" s="23"/>
      <c r="D82" s="194"/>
      <c r="E82" s="117"/>
      <c r="F82" s="117"/>
      <c r="G82" s="117"/>
      <c r="H82" s="112"/>
    </row>
    <row r="83" spans="1:8" ht="28.5" customHeight="1" x14ac:dyDescent="0.3">
      <c r="A83" s="16" t="s">
        <v>147</v>
      </c>
      <c r="D83" s="2"/>
      <c r="E83" s="118"/>
      <c r="F83" s="118"/>
      <c r="G83" s="118"/>
      <c r="H83" s="116"/>
    </row>
    <row r="84" spans="1:8" ht="70.5" customHeight="1" x14ac:dyDescent="0.3">
      <c r="A84" s="22" t="s">
        <v>180</v>
      </c>
      <c r="B84" s="22"/>
      <c r="C84" s="22"/>
      <c r="D84" s="22"/>
      <c r="E84" s="119"/>
      <c r="F84" s="119"/>
      <c r="G84" s="118"/>
      <c r="H84" s="116"/>
    </row>
    <row r="85" spans="1:8" ht="15.75" customHeight="1" thickBot="1" x14ac:dyDescent="0.35">
      <c r="E85" s="117"/>
      <c r="F85" s="117"/>
      <c r="G85" s="117"/>
      <c r="H85" s="112"/>
    </row>
    <row r="86" spans="1:8" ht="15.15" customHeight="1" x14ac:dyDescent="0.3">
      <c r="A86" s="151" t="s">
        <v>252</v>
      </c>
      <c r="B86" s="151" t="s">
        <v>172</v>
      </c>
      <c r="C86" s="154" t="s">
        <v>250</v>
      </c>
      <c r="D86" s="155"/>
      <c r="E86" s="117"/>
      <c r="F86" s="117"/>
      <c r="G86" s="117"/>
      <c r="H86" s="112"/>
    </row>
    <row r="87" spans="1:8" ht="13.5" customHeight="1" x14ac:dyDescent="0.3">
      <c r="A87" s="152"/>
      <c r="B87" s="152"/>
      <c r="C87" s="156"/>
      <c r="D87" s="157"/>
      <c r="E87" s="117"/>
      <c r="F87" s="117"/>
      <c r="G87" s="117"/>
      <c r="H87" s="112"/>
    </row>
    <row r="88" spans="1:8" ht="15" thickBot="1" x14ac:dyDescent="0.35">
      <c r="A88" s="153"/>
      <c r="B88" s="153"/>
      <c r="C88" s="158"/>
      <c r="D88" s="159"/>
      <c r="E88" s="117"/>
      <c r="F88" s="117"/>
      <c r="G88" s="117"/>
      <c r="H88" s="112"/>
    </row>
    <row r="89" spans="1:8" ht="12.15" customHeight="1" thickBot="1" x14ac:dyDescent="0.35">
      <c r="A89" s="144"/>
      <c r="B89" s="144" t="s">
        <v>181</v>
      </c>
      <c r="C89" s="145">
        <v>90.42</v>
      </c>
      <c r="D89" s="146"/>
      <c r="E89" s="117"/>
      <c r="F89" s="117"/>
      <c r="G89" s="117"/>
      <c r="H89" s="112"/>
    </row>
    <row r="90" spans="1:8" ht="12.75" customHeight="1" thickBot="1" x14ac:dyDescent="0.35">
      <c r="A90" s="144"/>
      <c r="B90" s="144"/>
      <c r="C90" s="147"/>
      <c r="D90" s="148"/>
      <c r="E90" s="117"/>
      <c r="F90" s="117"/>
      <c r="G90" s="117"/>
      <c r="H90" s="112"/>
    </row>
    <row r="91" spans="1:8" ht="12.75" customHeight="1" thickBot="1" x14ac:dyDescent="0.35">
      <c r="A91" s="144"/>
      <c r="B91" s="144"/>
      <c r="C91" s="147"/>
      <c r="D91" s="148"/>
      <c r="E91" s="117"/>
      <c r="F91" s="117"/>
      <c r="G91" s="117"/>
      <c r="H91" s="112"/>
    </row>
    <row r="92" spans="1:8" ht="20.25" customHeight="1" thickBot="1" x14ac:dyDescent="0.35">
      <c r="A92" s="144"/>
      <c r="B92" s="144"/>
      <c r="C92" s="147"/>
      <c r="D92" s="148"/>
      <c r="E92" s="185">
        <v>184.75</v>
      </c>
      <c r="F92" s="186">
        <f>E92/5.3</f>
        <v>34.86</v>
      </c>
      <c r="G92" s="187">
        <f>C89-F92</f>
        <v>55.56</v>
      </c>
      <c r="H92" s="188">
        <f>G92/C89</f>
        <v>0.61450000000000005</v>
      </c>
    </row>
    <row r="93" spans="1:8" ht="12.75" customHeight="1" thickBot="1" x14ac:dyDescent="0.35">
      <c r="A93" s="144"/>
      <c r="B93" s="144"/>
      <c r="C93" s="147"/>
      <c r="D93" s="148"/>
      <c r="E93" s="185"/>
      <c r="F93" s="186"/>
      <c r="G93" s="187"/>
      <c r="H93" s="188"/>
    </row>
    <row r="94" spans="1:8" ht="12.75" customHeight="1" thickBot="1" x14ac:dyDescent="0.35">
      <c r="A94" s="144"/>
      <c r="B94" s="144"/>
      <c r="C94" s="147"/>
      <c r="D94" s="148"/>
      <c r="E94" s="185"/>
      <c r="F94" s="186"/>
      <c r="G94" s="187"/>
      <c r="H94" s="188"/>
    </row>
    <row r="95" spans="1:8" ht="12.75" customHeight="1" thickBot="1" x14ac:dyDescent="0.35">
      <c r="A95" s="144"/>
      <c r="B95" s="144"/>
      <c r="C95" s="147"/>
      <c r="D95" s="148"/>
      <c r="E95" s="117"/>
      <c r="F95" s="117"/>
      <c r="G95" s="117"/>
      <c r="H95" s="112"/>
    </row>
    <row r="96" spans="1:8" ht="13.5" customHeight="1" thickBot="1" x14ac:dyDescent="0.35">
      <c r="A96" s="144"/>
      <c r="B96" s="144"/>
      <c r="C96" s="147"/>
      <c r="D96" s="148"/>
      <c r="E96" s="117"/>
      <c r="F96" s="117"/>
      <c r="G96" s="117"/>
      <c r="H96" s="112"/>
    </row>
    <row r="97" spans="1:8" ht="13.5" customHeight="1" thickBot="1" x14ac:dyDescent="0.35">
      <c r="A97" s="144"/>
      <c r="B97" s="144"/>
      <c r="C97" s="149"/>
      <c r="D97" s="150"/>
      <c r="E97" s="117"/>
      <c r="F97" s="117"/>
      <c r="G97" s="117"/>
      <c r="H97" s="112"/>
    </row>
    <row r="98" spans="1:8" ht="12.15" customHeight="1" thickBot="1" x14ac:dyDescent="0.35">
      <c r="A98" s="144"/>
      <c r="B98" s="144" t="s">
        <v>182</v>
      </c>
      <c r="C98" s="145">
        <v>94.72</v>
      </c>
      <c r="D98" s="146"/>
      <c r="E98" s="117"/>
      <c r="F98" s="117"/>
      <c r="G98" s="117"/>
      <c r="H98" s="112"/>
    </row>
    <row r="99" spans="1:8" ht="12.75" customHeight="1" thickBot="1" x14ac:dyDescent="0.35">
      <c r="A99" s="144"/>
      <c r="B99" s="144"/>
      <c r="C99" s="147"/>
      <c r="D99" s="148"/>
      <c r="E99" s="117"/>
      <c r="F99" s="117"/>
      <c r="G99" s="117"/>
      <c r="H99" s="112"/>
    </row>
    <row r="100" spans="1:8" ht="12.75" customHeight="1" thickBot="1" x14ac:dyDescent="0.35">
      <c r="A100" s="144"/>
      <c r="B100" s="144"/>
      <c r="C100" s="147"/>
      <c r="D100" s="148"/>
      <c r="E100" s="117"/>
      <c r="F100" s="117"/>
      <c r="G100" s="117"/>
      <c r="H100" s="112"/>
    </row>
    <row r="101" spans="1:8" ht="20.25" customHeight="1" thickBot="1" x14ac:dyDescent="0.35">
      <c r="A101" s="144"/>
      <c r="B101" s="144"/>
      <c r="C101" s="147"/>
      <c r="D101" s="148"/>
      <c r="E101" s="185">
        <v>188.78</v>
      </c>
      <c r="F101" s="186">
        <f>E101/5.3</f>
        <v>35.619999999999997</v>
      </c>
      <c r="G101" s="187">
        <f>C98-F101</f>
        <v>59.1</v>
      </c>
      <c r="H101" s="188">
        <f>G101/C98</f>
        <v>0.62390000000000001</v>
      </c>
    </row>
    <row r="102" spans="1:8" ht="12.75" customHeight="1" thickBot="1" x14ac:dyDescent="0.35">
      <c r="A102" s="144"/>
      <c r="B102" s="144"/>
      <c r="C102" s="147"/>
      <c r="D102" s="148"/>
      <c r="E102" s="185"/>
      <c r="F102" s="186"/>
      <c r="G102" s="187"/>
      <c r="H102" s="188"/>
    </row>
    <row r="103" spans="1:8" ht="12.75" customHeight="1" thickBot="1" x14ac:dyDescent="0.35">
      <c r="A103" s="144"/>
      <c r="B103" s="144"/>
      <c r="C103" s="147"/>
      <c r="D103" s="148"/>
      <c r="E103" s="185"/>
      <c r="F103" s="186"/>
      <c r="G103" s="187"/>
      <c r="H103" s="188"/>
    </row>
    <row r="104" spans="1:8" ht="12.75" customHeight="1" thickBot="1" x14ac:dyDescent="0.35">
      <c r="A104" s="144"/>
      <c r="B104" s="144"/>
      <c r="C104" s="147"/>
      <c r="D104" s="148"/>
      <c r="E104" s="117"/>
      <c r="F104" s="117"/>
      <c r="G104" s="117"/>
      <c r="H104" s="112"/>
    </row>
    <row r="105" spans="1:8" ht="13.5" customHeight="1" thickBot="1" x14ac:dyDescent="0.35">
      <c r="A105" s="144"/>
      <c r="B105" s="144"/>
      <c r="C105" s="147"/>
      <c r="D105" s="148"/>
      <c r="E105" s="117"/>
      <c r="F105" s="117"/>
      <c r="G105" s="117"/>
      <c r="H105" s="112"/>
    </row>
    <row r="106" spans="1:8" ht="13.5" customHeight="1" thickBot="1" x14ac:dyDescent="0.35">
      <c r="A106" s="144"/>
      <c r="B106" s="144"/>
      <c r="C106" s="149"/>
      <c r="D106" s="150"/>
      <c r="E106" s="117"/>
      <c r="F106" s="117"/>
      <c r="G106" s="117"/>
      <c r="H106" s="112"/>
    </row>
    <row r="107" spans="1:8" ht="12.15" customHeight="1" thickBot="1" x14ac:dyDescent="0.35">
      <c r="A107" s="144"/>
      <c r="B107" s="144" t="s">
        <v>183</v>
      </c>
      <c r="C107" s="145">
        <v>107.88</v>
      </c>
      <c r="D107" s="146"/>
      <c r="E107" s="117"/>
      <c r="F107" s="117"/>
      <c r="G107" s="117"/>
      <c r="H107" s="112"/>
    </row>
    <row r="108" spans="1:8" ht="12.75" customHeight="1" thickBot="1" x14ac:dyDescent="0.35">
      <c r="A108" s="144"/>
      <c r="B108" s="144"/>
      <c r="C108" s="147"/>
      <c r="D108" s="148"/>
      <c r="E108" s="117"/>
      <c r="F108" s="117"/>
      <c r="G108" s="117"/>
      <c r="H108" s="112"/>
    </row>
    <row r="109" spans="1:8" ht="12.75" customHeight="1" thickBot="1" x14ac:dyDescent="0.35">
      <c r="A109" s="144"/>
      <c r="B109" s="144"/>
      <c r="C109" s="147"/>
      <c r="D109" s="148"/>
      <c r="E109" s="117"/>
      <c r="F109" s="117"/>
      <c r="G109" s="117"/>
      <c r="H109" s="112"/>
    </row>
    <row r="110" spans="1:8" ht="20.25" customHeight="1" thickBot="1" x14ac:dyDescent="0.35">
      <c r="A110" s="144"/>
      <c r="B110" s="144"/>
      <c r="C110" s="147"/>
      <c r="D110" s="148"/>
      <c r="E110" s="185">
        <v>220.06</v>
      </c>
      <c r="F110" s="186">
        <f>E110/5.3</f>
        <v>41.52</v>
      </c>
      <c r="G110" s="187">
        <f>C107-F110</f>
        <v>66.36</v>
      </c>
      <c r="H110" s="188">
        <f>G110/C107</f>
        <v>0.61509999999999998</v>
      </c>
    </row>
    <row r="111" spans="1:8" ht="12.75" customHeight="1" thickBot="1" x14ac:dyDescent="0.35">
      <c r="A111" s="144"/>
      <c r="B111" s="144"/>
      <c r="C111" s="147"/>
      <c r="D111" s="148"/>
      <c r="E111" s="185"/>
      <c r="F111" s="186"/>
      <c r="G111" s="187"/>
      <c r="H111" s="188"/>
    </row>
    <row r="112" spans="1:8" ht="12.75" customHeight="1" thickBot="1" x14ac:dyDescent="0.35">
      <c r="A112" s="144"/>
      <c r="B112" s="144"/>
      <c r="C112" s="147"/>
      <c r="D112" s="148"/>
      <c r="E112" s="185"/>
      <c r="F112" s="186"/>
      <c r="G112" s="187"/>
      <c r="H112" s="188"/>
    </row>
    <row r="113" spans="1:8" ht="12.75" customHeight="1" thickBot="1" x14ac:dyDescent="0.35">
      <c r="A113" s="144"/>
      <c r="B113" s="144"/>
      <c r="C113" s="147"/>
      <c r="D113" s="148"/>
      <c r="E113" s="117"/>
      <c r="F113" s="117"/>
      <c r="G113" s="117"/>
      <c r="H113" s="112"/>
    </row>
    <row r="114" spans="1:8" ht="13.5" customHeight="1" thickBot="1" x14ac:dyDescent="0.35">
      <c r="A114" s="144"/>
      <c r="B114" s="144"/>
      <c r="C114" s="147"/>
      <c r="D114" s="148"/>
      <c r="E114" s="117"/>
      <c r="F114" s="117"/>
      <c r="G114" s="117"/>
      <c r="H114" s="112"/>
    </row>
    <row r="115" spans="1:8" ht="13.5" customHeight="1" thickBot="1" x14ac:dyDescent="0.35">
      <c r="A115" s="144"/>
      <c r="B115" s="144"/>
      <c r="C115" s="149"/>
      <c r="D115" s="150"/>
      <c r="E115" s="117"/>
      <c r="F115" s="117"/>
      <c r="G115" s="117"/>
      <c r="H115" s="112"/>
    </row>
    <row r="116" spans="1:8" ht="12.15" customHeight="1" thickBot="1" x14ac:dyDescent="0.35">
      <c r="A116" s="144"/>
      <c r="B116" s="144" t="s">
        <v>184</v>
      </c>
      <c r="C116" s="145">
        <v>119.94</v>
      </c>
      <c r="D116" s="146"/>
      <c r="E116" s="117"/>
      <c r="F116" s="117"/>
      <c r="G116" s="117"/>
      <c r="H116" s="112"/>
    </row>
    <row r="117" spans="1:8" ht="12.75" customHeight="1" thickBot="1" x14ac:dyDescent="0.35">
      <c r="A117" s="144"/>
      <c r="B117" s="144"/>
      <c r="C117" s="147"/>
      <c r="D117" s="148"/>
      <c r="E117" s="117"/>
      <c r="F117" s="117"/>
      <c r="G117" s="117"/>
      <c r="H117" s="112"/>
    </row>
    <row r="118" spans="1:8" ht="12.75" customHeight="1" thickBot="1" x14ac:dyDescent="0.35">
      <c r="A118" s="144"/>
      <c r="B118" s="144"/>
      <c r="C118" s="147"/>
      <c r="D118" s="148"/>
      <c r="E118" s="117"/>
      <c r="F118" s="117"/>
      <c r="G118" s="117"/>
      <c r="H118" s="112"/>
    </row>
    <row r="119" spans="1:8" ht="20.25" customHeight="1" thickBot="1" x14ac:dyDescent="0.35">
      <c r="A119" s="144"/>
      <c r="B119" s="144"/>
      <c r="C119" s="147"/>
      <c r="D119" s="148"/>
      <c r="E119" s="185">
        <v>243</v>
      </c>
      <c r="F119" s="186">
        <f>E119/5.3</f>
        <v>45.85</v>
      </c>
      <c r="G119" s="187">
        <f>C116-F119</f>
        <v>74.09</v>
      </c>
      <c r="H119" s="188">
        <f>G119/C116</f>
        <v>0.61770000000000003</v>
      </c>
    </row>
    <row r="120" spans="1:8" ht="12.75" customHeight="1" thickBot="1" x14ac:dyDescent="0.35">
      <c r="A120" s="144"/>
      <c r="B120" s="144"/>
      <c r="C120" s="147"/>
      <c r="D120" s="148"/>
      <c r="E120" s="185"/>
      <c r="F120" s="186"/>
      <c r="G120" s="187"/>
      <c r="H120" s="188"/>
    </row>
    <row r="121" spans="1:8" ht="12.75" customHeight="1" thickBot="1" x14ac:dyDescent="0.35">
      <c r="A121" s="144"/>
      <c r="B121" s="144"/>
      <c r="C121" s="147"/>
      <c r="D121" s="148"/>
      <c r="E121" s="185"/>
      <c r="F121" s="186"/>
      <c r="G121" s="187"/>
      <c r="H121" s="188"/>
    </row>
    <row r="122" spans="1:8" ht="12.75" customHeight="1" thickBot="1" x14ac:dyDescent="0.35">
      <c r="A122" s="144"/>
      <c r="B122" s="144"/>
      <c r="C122" s="147"/>
      <c r="D122" s="148"/>
      <c r="E122" s="117"/>
      <c r="F122" s="117"/>
      <c r="G122" s="117"/>
      <c r="H122" s="112"/>
    </row>
    <row r="123" spans="1:8" ht="13.5" customHeight="1" thickBot="1" x14ac:dyDescent="0.35">
      <c r="A123" s="144"/>
      <c r="B123" s="144"/>
      <c r="C123" s="147"/>
      <c r="D123" s="148"/>
      <c r="E123" s="117"/>
      <c r="F123" s="117"/>
      <c r="G123" s="117"/>
      <c r="H123" s="112"/>
    </row>
    <row r="124" spans="1:8" ht="13.5" customHeight="1" thickBot="1" x14ac:dyDescent="0.35">
      <c r="A124" s="144"/>
      <c r="B124" s="144"/>
      <c r="C124" s="149"/>
      <c r="D124" s="150"/>
      <c r="E124" s="117"/>
      <c r="F124" s="117"/>
      <c r="G124" s="117"/>
      <c r="H124" s="112"/>
    </row>
    <row r="125" spans="1:8" ht="12.75" customHeight="1" thickBot="1" x14ac:dyDescent="0.35">
      <c r="A125" s="144"/>
      <c r="B125" s="144" t="s">
        <v>185</v>
      </c>
      <c r="C125" s="145">
        <v>295</v>
      </c>
      <c r="D125" s="146"/>
      <c r="E125" s="117"/>
      <c r="F125" s="117"/>
      <c r="G125" s="117"/>
      <c r="H125" s="112"/>
    </row>
    <row r="126" spans="1:8" ht="12.75" customHeight="1" thickBot="1" x14ac:dyDescent="0.35">
      <c r="A126" s="144"/>
      <c r="B126" s="144"/>
      <c r="C126" s="147"/>
      <c r="D126" s="148"/>
      <c r="E126" s="117"/>
      <c r="F126" s="117"/>
      <c r="G126" s="117"/>
      <c r="H126" s="112"/>
    </row>
    <row r="127" spans="1:8" ht="12.75" customHeight="1" thickBot="1" x14ac:dyDescent="0.35">
      <c r="A127" s="144"/>
      <c r="B127" s="144"/>
      <c r="C127" s="147"/>
      <c r="D127" s="148"/>
      <c r="E127" s="117"/>
      <c r="F127" s="117"/>
      <c r="G127" s="117"/>
      <c r="H127" s="112"/>
    </row>
    <row r="128" spans="1:8" ht="12.75" customHeight="1" thickBot="1" x14ac:dyDescent="0.35">
      <c r="A128" s="144"/>
      <c r="B128" s="144"/>
      <c r="C128" s="147"/>
      <c r="D128" s="148"/>
      <c r="E128" s="185">
        <v>650</v>
      </c>
      <c r="F128" s="186">
        <f>E128/5.3</f>
        <v>122.64</v>
      </c>
      <c r="G128" s="187">
        <f>C125-F128</f>
        <v>172.36</v>
      </c>
      <c r="H128" s="188">
        <f>G128/C125</f>
        <v>0.58430000000000004</v>
      </c>
    </row>
    <row r="129" spans="1:8" ht="12.75" customHeight="1" thickBot="1" x14ac:dyDescent="0.35">
      <c r="A129" s="144"/>
      <c r="B129" s="144"/>
      <c r="C129" s="147"/>
      <c r="D129" s="148"/>
      <c r="E129" s="185"/>
      <c r="F129" s="186"/>
      <c r="G129" s="187"/>
      <c r="H129" s="188"/>
    </row>
    <row r="130" spans="1:8" ht="12.75" customHeight="1" thickBot="1" x14ac:dyDescent="0.35">
      <c r="A130" s="144"/>
      <c r="B130" s="144"/>
      <c r="C130" s="147"/>
      <c r="D130" s="148"/>
      <c r="E130" s="185"/>
      <c r="F130" s="186"/>
      <c r="G130" s="187"/>
      <c r="H130" s="188"/>
    </row>
    <row r="131" spans="1:8" ht="12.75" customHeight="1" thickBot="1" x14ac:dyDescent="0.35">
      <c r="A131" s="144"/>
      <c r="B131" s="144"/>
      <c r="C131" s="147"/>
      <c r="D131" s="148"/>
      <c r="E131" s="117"/>
      <c r="F131" s="117"/>
      <c r="G131" s="117"/>
      <c r="H131" s="112"/>
    </row>
    <row r="132" spans="1:8" ht="12.75" customHeight="1" thickBot="1" x14ac:dyDescent="0.35">
      <c r="A132" s="144"/>
      <c r="B132" s="144"/>
      <c r="C132" s="147"/>
      <c r="D132" s="148"/>
      <c r="E132" s="117"/>
      <c r="F132" s="117"/>
      <c r="G132" s="117"/>
      <c r="H132" s="112"/>
    </row>
    <row r="133" spans="1:8" ht="12.75" customHeight="1" thickBot="1" x14ac:dyDescent="0.35">
      <c r="A133" s="144"/>
      <c r="B133" s="144"/>
      <c r="C133" s="147"/>
      <c r="D133" s="148"/>
      <c r="E133" s="117"/>
      <c r="F133" s="117"/>
      <c r="G133" s="117"/>
      <c r="H133" s="112"/>
    </row>
    <row r="134" spans="1:8" ht="13.5" customHeight="1" thickBot="1" x14ac:dyDescent="0.35">
      <c r="A134" s="144"/>
      <c r="B134" s="144"/>
      <c r="C134" s="149"/>
      <c r="D134" s="150"/>
      <c r="E134" s="117"/>
      <c r="F134" s="117"/>
      <c r="G134" s="117"/>
      <c r="H134" s="112"/>
    </row>
    <row r="135" spans="1:8" ht="12.75" customHeight="1" thickBot="1" x14ac:dyDescent="0.35">
      <c r="A135" s="144"/>
      <c r="B135" s="169" t="s">
        <v>186</v>
      </c>
      <c r="C135" s="145">
        <v>295</v>
      </c>
      <c r="D135" s="189"/>
      <c r="E135" s="117"/>
      <c r="F135" s="117"/>
      <c r="G135" s="117"/>
      <c r="H135" s="112"/>
    </row>
    <row r="136" spans="1:8" ht="12.75" customHeight="1" thickBot="1" x14ac:dyDescent="0.35">
      <c r="A136" s="144"/>
      <c r="B136" s="170"/>
      <c r="C136" s="190"/>
      <c r="D136" s="191"/>
      <c r="E136" s="117"/>
      <c r="F136" s="117"/>
      <c r="G136" s="117"/>
      <c r="H136" s="112"/>
    </row>
    <row r="137" spans="1:8" ht="12.75" customHeight="1" thickBot="1" x14ac:dyDescent="0.35">
      <c r="A137" s="144"/>
      <c r="B137" s="170"/>
      <c r="C137" s="190"/>
      <c r="D137" s="191"/>
      <c r="E137" s="117"/>
      <c r="F137" s="117"/>
      <c r="G137" s="117"/>
      <c r="H137" s="112"/>
    </row>
    <row r="138" spans="1:8" ht="12.75" customHeight="1" thickBot="1" x14ac:dyDescent="0.35">
      <c r="A138" s="144"/>
      <c r="B138" s="170"/>
      <c r="C138" s="190"/>
      <c r="D138" s="191"/>
      <c r="E138" s="185">
        <v>700</v>
      </c>
      <c r="F138" s="186">
        <f>E138/5.3</f>
        <v>132.08000000000001</v>
      </c>
      <c r="G138" s="187">
        <f>C135-F138</f>
        <v>162.91999999999999</v>
      </c>
      <c r="H138" s="188">
        <f>G138/C135</f>
        <v>0.55230000000000001</v>
      </c>
    </row>
    <row r="139" spans="1:8" ht="12.75" customHeight="1" thickBot="1" x14ac:dyDescent="0.35">
      <c r="A139" s="144"/>
      <c r="B139" s="170"/>
      <c r="C139" s="190"/>
      <c r="D139" s="191"/>
      <c r="E139" s="185"/>
      <c r="F139" s="186"/>
      <c r="G139" s="187"/>
      <c r="H139" s="188"/>
    </row>
    <row r="140" spans="1:8" ht="12.75" customHeight="1" thickBot="1" x14ac:dyDescent="0.35">
      <c r="A140" s="144"/>
      <c r="B140" s="170"/>
      <c r="C140" s="190"/>
      <c r="D140" s="191"/>
      <c r="E140" s="185"/>
      <c r="F140" s="186"/>
      <c r="G140" s="187"/>
      <c r="H140" s="188"/>
    </row>
    <row r="141" spans="1:8" ht="12.75" customHeight="1" thickBot="1" x14ac:dyDescent="0.35">
      <c r="A141" s="144"/>
      <c r="B141" s="170"/>
      <c r="C141" s="190"/>
      <c r="D141" s="191"/>
    </row>
    <row r="142" spans="1:8" ht="12.75" customHeight="1" thickBot="1" x14ac:dyDescent="0.35">
      <c r="A142" s="144"/>
      <c r="B142" s="170"/>
      <c r="C142" s="190"/>
      <c r="D142" s="191"/>
    </row>
    <row r="143" spans="1:8" ht="12.75" customHeight="1" thickBot="1" x14ac:dyDescent="0.35">
      <c r="A143" s="144"/>
      <c r="B143" s="170"/>
      <c r="C143" s="190"/>
      <c r="D143" s="191"/>
    </row>
    <row r="144" spans="1:8" ht="13.5" customHeight="1" thickBot="1" x14ac:dyDescent="0.35">
      <c r="A144" s="144"/>
      <c r="B144" s="171"/>
      <c r="C144" s="192"/>
      <c r="D144" s="193"/>
    </row>
    <row r="145" spans="1:8" ht="28.5" customHeight="1" x14ac:dyDescent="0.3">
      <c r="A145" s="16" t="s">
        <v>147</v>
      </c>
      <c r="B145" s="21"/>
      <c r="C145" s="21"/>
      <c r="D145" s="18"/>
    </row>
    <row r="146" spans="1:8" ht="86.25" customHeight="1" thickBot="1" x14ac:dyDescent="0.35">
      <c r="A146" s="22" t="s">
        <v>208</v>
      </c>
      <c r="B146" s="20"/>
      <c r="C146" s="20"/>
      <c r="D146" s="19"/>
      <c r="E146" s="3"/>
      <c r="F146" s="3"/>
      <c r="G146" s="3"/>
      <c r="H146" s="3"/>
    </row>
    <row r="147" spans="1:8" ht="15.15" customHeight="1" x14ac:dyDescent="0.3">
      <c r="A147" s="151" t="s">
        <v>252</v>
      </c>
      <c r="B147" s="151" t="s">
        <v>172</v>
      </c>
      <c r="C147" s="154" t="s">
        <v>250</v>
      </c>
      <c r="D147" s="155"/>
    </row>
    <row r="148" spans="1:8" ht="13.5" customHeight="1" x14ac:dyDescent="0.3">
      <c r="A148" s="152"/>
      <c r="B148" s="152"/>
      <c r="C148" s="156"/>
      <c r="D148" s="157"/>
    </row>
    <row r="149" spans="1:8" ht="15" thickBot="1" x14ac:dyDescent="0.35">
      <c r="A149" s="153"/>
      <c r="B149" s="153"/>
      <c r="C149" s="158"/>
      <c r="D149" s="159"/>
    </row>
    <row r="150" spans="1:8" ht="12.75" customHeight="1" x14ac:dyDescent="0.3">
      <c r="A150" s="166" t="s">
        <v>213</v>
      </c>
      <c r="B150" s="169" t="s">
        <v>209</v>
      </c>
      <c r="C150" s="175" t="s">
        <v>7</v>
      </c>
      <c r="D150" s="178">
        <v>10.92</v>
      </c>
    </row>
    <row r="151" spans="1:8" ht="12.75" customHeight="1" x14ac:dyDescent="0.3">
      <c r="A151" s="167"/>
      <c r="B151" s="170"/>
      <c r="C151" s="176"/>
      <c r="D151" s="181"/>
    </row>
    <row r="152" spans="1:8" ht="12.75" customHeight="1" thickBot="1" x14ac:dyDescent="0.35">
      <c r="A152" s="167"/>
      <c r="B152" s="170"/>
      <c r="C152" s="177"/>
      <c r="D152" s="182"/>
    </row>
    <row r="153" spans="1:8" ht="12.75" customHeight="1" x14ac:dyDescent="0.3">
      <c r="A153" s="167"/>
      <c r="B153" s="170"/>
      <c r="C153" s="175" t="s">
        <v>8</v>
      </c>
      <c r="D153" s="178">
        <v>16.079999999999998</v>
      </c>
    </row>
    <row r="154" spans="1:8" ht="12.75" customHeight="1" x14ac:dyDescent="0.3">
      <c r="A154" s="167"/>
      <c r="B154" s="170"/>
      <c r="C154" s="176"/>
      <c r="D154" s="181"/>
    </row>
    <row r="155" spans="1:8" ht="12.75" customHeight="1" thickBot="1" x14ac:dyDescent="0.35">
      <c r="A155" s="167"/>
      <c r="B155" s="170"/>
      <c r="C155" s="176"/>
      <c r="D155" s="181"/>
    </row>
    <row r="156" spans="1:8" ht="12.75" customHeight="1" x14ac:dyDescent="0.3">
      <c r="A156" s="167"/>
      <c r="B156" s="170"/>
      <c r="C156" s="175" t="s">
        <v>10</v>
      </c>
      <c r="D156" s="178">
        <v>22.16</v>
      </c>
    </row>
    <row r="157" spans="1:8" ht="12.75" customHeight="1" x14ac:dyDescent="0.3">
      <c r="A157" s="167"/>
      <c r="B157" s="170"/>
      <c r="C157" s="176"/>
      <c r="D157" s="181"/>
    </row>
    <row r="158" spans="1:8" ht="12.75" customHeight="1" x14ac:dyDescent="0.3">
      <c r="A158" s="167"/>
      <c r="B158" s="170"/>
      <c r="C158" s="176"/>
      <c r="D158" s="181"/>
    </row>
    <row r="159" spans="1:8" ht="13.5" customHeight="1" thickBot="1" x14ac:dyDescent="0.35">
      <c r="A159" s="168"/>
      <c r="B159" s="171"/>
      <c r="C159" s="177"/>
      <c r="D159" s="182"/>
    </row>
    <row r="160" spans="1:8" ht="12.75" customHeight="1" thickBot="1" x14ac:dyDescent="0.35">
      <c r="A160" s="172" t="s">
        <v>212</v>
      </c>
      <c r="B160" s="144" t="s">
        <v>210</v>
      </c>
      <c r="C160" s="175" t="s">
        <v>7</v>
      </c>
      <c r="D160" s="178">
        <v>9.16</v>
      </c>
    </row>
    <row r="161" spans="1:4" ht="12.75" customHeight="1" thickBot="1" x14ac:dyDescent="0.35">
      <c r="A161" s="173"/>
      <c r="B161" s="144"/>
      <c r="C161" s="183"/>
      <c r="D161" s="179"/>
    </row>
    <row r="162" spans="1:4" ht="12.75" customHeight="1" thickBot="1" x14ac:dyDescent="0.35">
      <c r="A162" s="173"/>
      <c r="B162" s="144"/>
      <c r="C162" s="184"/>
      <c r="D162" s="180"/>
    </row>
    <row r="163" spans="1:4" ht="12.75" customHeight="1" thickBot="1" x14ac:dyDescent="0.35">
      <c r="A163" s="173"/>
      <c r="B163" s="144"/>
      <c r="C163" s="175" t="s">
        <v>8</v>
      </c>
      <c r="D163" s="178">
        <v>15.04</v>
      </c>
    </row>
    <row r="164" spans="1:4" ht="12.75" customHeight="1" thickBot="1" x14ac:dyDescent="0.35">
      <c r="A164" s="173"/>
      <c r="B164" s="144"/>
      <c r="C164" s="176"/>
      <c r="D164" s="181"/>
    </row>
    <row r="165" spans="1:4" ht="12.75" customHeight="1" thickBot="1" x14ac:dyDescent="0.35">
      <c r="A165" s="173"/>
      <c r="B165" s="144"/>
      <c r="C165" s="176"/>
      <c r="D165" s="181"/>
    </row>
    <row r="166" spans="1:4" ht="12.75" customHeight="1" thickBot="1" x14ac:dyDescent="0.35">
      <c r="A166" s="173"/>
      <c r="B166" s="144"/>
      <c r="C166" s="175" t="s">
        <v>10</v>
      </c>
      <c r="D166" s="178">
        <v>20.68</v>
      </c>
    </row>
    <row r="167" spans="1:4" ht="12.75" customHeight="1" thickBot="1" x14ac:dyDescent="0.35">
      <c r="A167" s="173"/>
      <c r="B167" s="144"/>
      <c r="C167" s="176"/>
      <c r="D167" s="181"/>
    </row>
    <row r="168" spans="1:4" ht="12.75" customHeight="1" thickBot="1" x14ac:dyDescent="0.35">
      <c r="A168" s="173"/>
      <c r="B168" s="144"/>
      <c r="C168" s="176"/>
      <c r="D168" s="181"/>
    </row>
    <row r="169" spans="1:4" ht="13.5" customHeight="1" thickBot="1" x14ac:dyDescent="0.35">
      <c r="A169" s="174"/>
      <c r="B169" s="144"/>
      <c r="C169" s="177"/>
      <c r="D169" s="182"/>
    </row>
    <row r="170" spans="1:4" ht="12.75" customHeight="1" thickBot="1" x14ac:dyDescent="0.35">
      <c r="A170" s="172" t="s">
        <v>212</v>
      </c>
      <c r="B170" s="144" t="s">
        <v>211</v>
      </c>
      <c r="C170" s="175" t="s">
        <v>7</v>
      </c>
      <c r="D170" s="178">
        <v>17.82</v>
      </c>
    </row>
    <row r="171" spans="1:4" ht="12.75" customHeight="1" thickBot="1" x14ac:dyDescent="0.35">
      <c r="A171" s="173"/>
      <c r="B171" s="144"/>
      <c r="C171" s="183"/>
      <c r="D171" s="179"/>
    </row>
    <row r="172" spans="1:4" ht="12.75" customHeight="1" thickBot="1" x14ac:dyDescent="0.35">
      <c r="A172" s="173"/>
      <c r="B172" s="144"/>
      <c r="C172" s="184"/>
      <c r="D172" s="180"/>
    </row>
    <row r="173" spans="1:4" ht="12.75" customHeight="1" thickBot="1" x14ac:dyDescent="0.35">
      <c r="A173" s="173"/>
      <c r="B173" s="144"/>
      <c r="C173" s="175" t="s">
        <v>8</v>
      </c>
      <c r="D173" s="178">
        <v>25.78</v>
      </c>
    </row>
    <row r="174" spans="1:4" ht="12.75" customHeight="1" thickBot="1" x14ac:dyDescent="0.35">
      <c r="A174" s="173"/>
      <c r="B174" s="144"/>
      <c r="C174" s="176"/>
      <c r="D174" s="181"/>
    </row>
    <row r="175" spans="1:4" ht="12.75" customHeight="1" thickBot="1" x14ac:dyDescent="0.35">
      <c r="A175" s="173"/>
      <c r="B175" s="144"/>
      <c r="C175" s="176"/>
      <c r="D175" s="181"/>
    </row>
    <row r="176" spans="1:4" ht="12.75" customHeight="1" thickBot="1" x14ac:dyDescent="0.35">
      <c r="A176" s="173"/>
      <c r="B176" s="144"/>
      <c r="C176" s="175" t="s">
        <v>10</v>
      </c>
      <c r="D176" s="178">
        <v>35.56</v>
      </c>
    </row>
    <row r="177" spans="1:6" ht="12.75" customHeight="1" thickBot="1" x14ac:dyDescent="0.35">
      <c r="A177" s="173"/>
      <c r="B177" s="144"/>
      <c r="C177" s="176"/>
      <c r="D177" s="181"/>
    </row>
    <row r="178" spans="1:6" ht="12.75" customHeight="1" thickBot="1" x14ac:dyDescent="0.35">
      <c r="A178" s="173"/>
      <c r="B178" s="144"/>
      <c r="C178" s="176"/>
      <c r="D178" s="181"/>
    </row>
    <row r="179" spans="1:6" ht="13.5" customHeight="1" thickBot="1" x14ac:dyDescent="0.35">
      <c r="A179" s="174"/>
      <c r="B179" s="144"/>
      <c r="C179" s="177"/>
      <c r="D179" s="182"/>
    </row>
    <row r="180" spans="1:6" ht="15" customHeight="1" x14ac:dyDescent="0.3">
      <c r="A180" s="160" t="s">
        <v>215</v>
      </c>
      <c r="B180" s="161"/>
      <c r="C180" s="145">
        <v>16.420000000000002</v>
      </c>
      <c r="D180" s="146"/>
    </row>
    <row r="181" spans="1:6" ht="15" customHeight="1" x14ac:dyDescent="0.3">
      <c r="A181" s="162"/>
      <c r="B181" s="163"/>
      <c r="C181" s="147"/>
      <c r="D181" s="148"/>
    </row>
    <row r="182" spans="1:6" ht="15" customHeight="1" thickBot="1" x14ac:dyDescent="0.35">
      <c r="A182" s="164"/>
      <c r="B182" s="165"/>
      <c r="C182" s="149"/>
      <c r="D182" s="150"/>
    </row>
    <row r="183" spans="1:6" ht="15" customHeight="1" x14ac:dyDescent="0.3">
      <c r="A183" s="160" t="s">
        <v>216</v>
      </c>
      <c r="B183" s="161"/>
      <c r="C183" s="145">
        <v>8.6199999999999992</v>
      </c>
      <c r="D183" s="146"/>
      <c r="F183" s="17"/>
    </row>
    <row r="184" spans="1:6" ht="15" customHeight="1" x14ac:dyDescent="0.3">
      <c r="A184" s="162"/>
      <c r="B184" s="163"/>
      <c r="C184" s="147"/>
      <c r="D184" s="148"/>
    </row>
    <row r="185" spans="1:6" ht="15" customHeight="1" thickBot="1" x14ac:dyDescent="0.35">
      <c r="A185" s="164"/>
      <c r="B185" s="165"/>
      <c r="C185" s="149"/>
      <c r="D185" s="150"/>
    </row>
    <row r="186" spans="1:6" ht="15" customHeight="1" x14ac:dyDescent="0.3">
      <c r="A186" s="160" t="s">
        <v>191</v>
      </c>
      <c r="B186" s="161"/>
      <c r="C186" s="145">
        <v>18.579999999999998</v>
      </c>
      <c r="D186" s="146"/>
    </row>
    <row r="187" spans="1:6" ht="15" customHeight="1" x14ac:dyDescent="0.3">
      <c r="A187" s="162"/>
      <c r="B187" s="163"/>
      <c r="C187" s="147"/>
      <c r="D187" s="148"/>
    </row>
    <row r="188" spans="1:6" ht="15" customHeight="1" thickBot="1" x14ac:dyDescent="0.35">
      <c r="A188" s="164"/>
      <c r="B188" s="165"/>
      <c r="C188" s="149"/>
      <c r="D188" s="150"/>
    </row>
    <row r="189" spans="1:6" ht="15" customHeight="1" x14ac:dyDescent="0.3">
      <c r="A189" s="160" t="s">
        <v>217</v>
      </c>
      <c r="B189" s="161"/>
      <c r="C189" s="145">
        <v>1.96</v>
      </c>
      <c r="D189" s="146"/>
    </row>
    <row r="190" spans="1:6" ht="15" customHeight="1" x14ac:dyDescent="0.3">
      <c r="A190" s="162"/>
      <c r="B190" s="163"/>
      <c r="C190" s="147"/>
      <c r="D190" s="148"/>
    </row>
    <row r="191" spans="1:6" ht="15" customHeight="1" thickBot="1" x14ac:dyDescent="0.35">
      <c r="A191" s="164"/>
      <c r="B191" s="165"/>
      <c r="C191" s="149"/>
      <c r="D191" s="150"/>
    </row>
    <row r="192" spans="1:6" ht="15" customHeight="1" x14ac:dyDescent="0.3">
      <c r="A192" s="160" t="s">
        <v>196</v>
      </c>
      <c r="B192" s="161"/>
      <c r="C192" s="145">
        <v>3.23</v>
      </c>
      <c r="D192" s="146"/>
    </row>
    <row r="193" spans="1:4" ht="15" customHeight="1" x14ac:dyDescent="0.3">
      <c r="A193" s="162"/>
      <c r="B193" s="163"/>
      <c r="C193" s="147"/>
      <c r="D193" s="148"/>
    </row>
    <row r="194" spans="1:4" ht="15" customHeight="1" thickBot="1" x14ac:dyDescent="0.35">
      <c r="A194" s="164"/>
      <c r="B194" s="165"/>
      <c r="C194" s="149"/>
      <c r="D194" s="150"/>
    </row>
    <row r="195" spans="1:4" ht="15" customHeight="1" x14ac:dyDescent="0.3">
      <c r="A195" s="160" t="s">
        <v>214</v>
      </c>
      <c r="B195" s="161"/>
      <c r="C195" s="145">
        <v>28.01</v>
      </c>
      <c r="D195" s="146"/>
    </row>
    <row r="196" spans="1:4" ht="15" customHeight="1" x14ac:dyDescent="0.3">
      <c r="A196" s="162"/>
      <c r="B196" s="163"/>
      <c r="C196" s="147"/>
      <c r="D196" s="148"/>
    </row>
    <row r="197" spans="1:4" ht="15" customHeight="1" thickBot="1" x14ac:dyDescent="0.35">
      <c r="A197" s="164"/>
      <c r="B197" s="165"/>
      <c r="C197" s="149"/>
      <c r="D197" s="150"/>
    </row>
  </sheetData>
  <sheetProtection algorithmName="SHA-512" hashValue="YZ2Qjm1wFGkRmLDG5vqIJjz7OskY4XIS5GcoKDF67J1JLFqDGITNcRIrmeeappxt3pf92tsbNpkNTjH7Iiu4Ng==" saltValue="X2ZY8NEI2pCki+S6sibGYA==" spinCount="100000" sheet="1" selectLockedCells="1"/>
  <mergeCells count="139">
    <mergeCell ref="E128:E130"/>
    <mergeCell ref="F128:F130"/>
    <mergeCell ref="G128:G130"/>
    <mergeCell ref="H128:H130"/>
    <mergeCell ref="E138:E140"/>
    <mergeCell ref="F138:F140"/>
    <mergeCell ref="G138:G140"/>
    <mergeCell ref="H138:H140"/>
    <mergeCell ref="F110:F112"/>
    <mergeCell ref="G110:G112"/>
    <mergeCell ref="H110:H112"/>
    <mergeCell ref="F119:F121"/>
    <mergeCell ref="G119:G121"/>
    <mergeCell ref="H119:H121"/>
    <mergeCell ref="E110:E112"/>
    <mergeCell ref="E119:E121"/>
    <mergeCell ref="F92:F94"/>
    <mergeCell ref="G92:G94"/>
    <mergeCell ref="H92:H94"/>
    <mergeCell ref="F101:F103"/>
    <mergeCell ref="G101:G103"/>
    <mergeCell ref="H101:H103"/>
    <mergeCell ref="E92:E94"/>
    <mergeCell ref="E101:E103"/>
    <mergeCell ref="F59:F61"/>
    <mergeCell ref="G59:G61"/>
    <mergeCell ref="H59:H61"/>
    <mergeCell ref="F68:F70"/>
    <mergeCell ref="G68:G70"/>
    <mergeCell ref="H68:H70"/>
    <mergeCell ref="E59:E61"/>
    <mergeCell ref="E68:E70"/>
    <mergeCell ref="G50:G52"/>
    <mergeCell ref="H50:H52"/>
    <mergeCell ref="E50:E52"/>
    <mergeCell ref="E41:E43"/>
    <mergeCell ref="F21:F23"/>
    <mergeCell ref="G21:G23"/>
    <mergeCell ref="H21:H23"/>
    <mergeCell ref="F31:F33"/>
    <mergeCell ref="G31:G33"/>
    <mergeCell ref="H31:H33"/>
    <mergeCell ref="E21:E23"/>
    <mergeCell ref="E31:E33"/>
    <mergeCell ref="E10:E12"/>
    <mergeCell ref="F10:F12"/>
    <mergeCell ref="G10:G12"/>
    <mergeCell ref="H10:H12"/>
    <mergeCell ref="C47:D55"/>
    <mergeCell ref="D150:D152"/>
    <mergeCell ref="C156:C159"/>
    <mergeCell ref="D153:D155"/>
    <mergeCell ref="D156:D159"/>
    <mergeCell ref="C56:D64"/>
    <mergeCell ref="C65:D73"/>
    <mergeCell ref="C89:D97"/>
    <mergeCell ref="C98:D106"/>
    <mergeCell ref="C107:D115"/>
    <mergeCell ref="C116:D124"/>
    <mergeCell ref="C125:D134"/>
    <mergeCell ref="C135:D144"/>
    <mergeCell ref="D74:D82"/>
    <mergeCell ref="C86:D88"/>
    <mergeCell ref="C147:D149"/>
    <mergeCell ref="F41:F43"/>
    <mergeCell ref="G41:G43"/>
    <mergeCell ref="H41:H43"/>
    <mergeCell ref="F50:F52"/>
    <mergeCell ref="D166:D169"/>
    <mergeCell ref="C195:D197"/>
    <mergeCell ref="C150:C152"/>
    <mergeCell ref="C153:C155"/>
    <mergeCell ref="C160:C162"/>
    <mergeCell ref="C170:C172"/>
    <mergeCell ref="C180:D182"/>
    <mergeCell ref="C183:D185"/>
    <mergeCell ref="C186:D188"/>
    <mergeCell ref="C189:D191"/>
    <mergeCell ref="D170:D172"/>
    <mergeCell ref="D173:D175"/>
    <mergeCell ref="D176:D179"/>
    <mergeCell ref="C173:C175"/>
    <mergeCell ref="C176:C179"/>
    <mergeCell ref="A195:B197"/>
    <mergeCell ref="C7:D16"/>
    <mergeCell ref="C17:D26"/>
    <mergeCell ref="A150:A159"/>
    <mergeCell ref="B150:B159"/>
    <mergeCell ref="A160:A169"/>
    <mergeCell ref="B160:B169"/>
    <mergeCell ref="C163:C165"/>
    <mergeCell ref="C166:C169"/>
    <mergeCell ref="A189:B191"/>
    <mergeCell ref="A192:B194"/>
    <mergeCell ref="C192:D194"/>
    <mergeCell ref="A135:A144"/>
    <mergeCell ref="B135:B144"/>
    <mergeCell ref="D160:D162"/>
    <mergeCell ref="D163:D165"/>
    <mergeCell ref="A180:B182"/>
    <mergeCell ref="A183:B185"/>
    <mergeCell ref="A186:B188"/>
    <mergeCell ref="A116:A124"/>
    <mergeCell ref="B116:B124"/>
    <mergeCell ref="A125:A134"/>
    <mergeCell ref="B125:B134"/>
    <mergeCell ref="A170:A179"/>
    <mergeCell ref="B170:B179"/>
    <mergeCell ref="A147:A149"/>
    <mergeCell ref="B147:B149"/>
    <mergeCell ref="A98:A106"/>
    <mergeCell ref="B98:B106"/>
    <mergeCell ref="A107:A115"/>
    <mergeCell ref="B107:B115"/>
    <mergeCell ref="A74:A82"/>
    <mergeCell ref="B74:B82"/>
    <mergeCell ref="A89:A97"/>
    <mergeCell ref="B89:B97"/>
    <mergeCell ref="A86:A88"/>
    <mergeCell ref="B86:B88"/>
    <mergeCell ref="A56:A64"/>
    <mergeCell ref="B56:B64"/>
    <mergeCell ref="A65:A73"/>
    <mergeCell ref="B65:B73"/>
    <mergeCell ref="A37:A46"/>
    <mergeCell ref="B37:B46"/>
    <mergeCell ref="A47:A55"/>
    <mergeCell ref="B47:B55"/>
    <mergeCell ref="C37:D46"/>
    <mergeCell ref="A17:A26"/>
    <mergeCell ref="B17:B26"/>
    <mergeCell ref="A27:A36"/>
    <mergeCell ref="B27:B36"/>
    <mergeCell ref="C27:D36"/>
    <mergeCell ref="A4:A6"/>
    <mergeCell ref="B4:B6"/>
    <mergeCell ref="A7:A16"/>
    <mergeCell ref="B7:B16"/>
    <mergeCell ref="C4:D6"/>
  </mergeCells>
  <pageMargins left="0.7" right="0.7" top="0.75" bottom="0.75" header="0.3" footer="0.3"/>
  <pageSetup paperSize="9" scale="64" orientation="portrait" verticalDpi="360" r:id="rId1"/>
  <rowBreaks count="2" manualBreakCount="2">
    <brk id="82" max="16383" man="1"/>
    <brk id="144" max="16383" man="1"/>
  </rowBreaks>
  <colBreaks count="1" manualBreakCount="1">
    <brk id="4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55</vt:i4>
      </vt:variant>
    </vt:vector>
  </HeadingPairs>
  <TitlesOfParts>
    <vt:vector size="60" baseType="lpstr">
      <vt:lpstr>Front Specification</vt:lpstr>
      <vt:lpstr>Handle Specification</vt:lpstr>
      <vt:lpstr>Costing</vt:lpstr>
      <vt:lpstr>Frame Options</vt:lpstr>
      <vt:lpstr>Insert and Handle Options</vt:lpstr>
      <vt:lpstr>_105°</vt:lpstr>
      <vt:lpstr>_110°</vt:lpstr>
      <vt:lpstr>_165°</vt:lpstr>
      <vt:lpstr>_30°</vt:lpstr>
      <vt:lpstr>_45°</vt:lpstr>
      <vt:lpstr>_90°</vt:lpstr>
      <vt:lpstr>Clear_Glass</vt:lpstr>
      <vt:lpstr>Frame_Only</vt:lpstr>
      <vt:lpstr>Frame_R1</vt:lpstr>
      <vt:lpstr>Frame_R10</vt:lpstr>
      <vt:lpstr>Frame_R11</vt:lpstr>
      <vt:lpstr>Frame_R13</vt:lpstr>
      <vt:lpstr>Frame_R15</vt:lpstr>
      <vt:lpstr>Frame_R4</vt:lpstr>
      <vt:lpstr>Frame_R50___R51</vt:lpstr>
      <vt:lpstr>Frame_R50_R51</vt:lpstr>
      <vt:lpstr>Frame_R5051</vt:lpstr>
      <vt:lpstr>Frame_R50R51</vt:lpstr>
      <vt:lpstr>Full_Overlay</vt:lpstr>
      <vt:lpstr>Half_Overlay</vt:lpstr>
      <vt:lpstr>Inset</vt:lpstr>
      <vt:lpstr>Lacobel_Classics</vt:lpstr>
      <vt:lpstr>Lacobel_Exclusives</vt:lpstr>
      <vt:lpstr>Lacobel_Trendies</vt:lpstr>
      <vt:lpstr>Lakomat_Glass</vt:lpstr>
      <vt:lpstr>Matelac_Classics</vt:lpstr>
      <vt:lpstr>Matelac_Exclusives</vt:lpstr>
      <vt:lpstr>Matelac_Trendies</vt:lpstr>
      <vt:lpstr>Mirror_Glass</vt:lpstr>
      <vt:lpstr>'Front Specification'!No</vt:lpstr>
      <vt:lpstr>No</vt:lpstr>
      <vt:lpstr>No_Insert</vt:lpstr>
      <vt:lpstr>Other</vt:lpstr>
      <vt:lpstr>Planibel_Dark_Tint_Glass</vt:lpstr>
      <vt:lpstr>Planibel_Light_Tint_Glass</vt:lpstr>
      <vt:lpstr>Porous_Concrete</vt:lpstr>
      <vt:lpstr>Costing!Print_Area</vt:lpstr>
      <vt:lpstr>'Frame Options'!Print_Area</vt:lpstr>
      <vt:lpstr>'Front Specification'!Print_Area</vt:lpstr>
      <vt:lpstr>'Handle Specification'!Print_Area</vt:lpstr>
      <vt:lpstr>'Insert and Handle Options'!Print_Area</vt:lpstr>
      <vt:lpstr>Costing!Print_Titles</vt:lpstr>
      <vt:lpstr>'Front Specification'!Print_Titles</vt:lpstr>
      <vt:lpstr>'Handle Specification'!Print_Titles</vt:lpstr>
      <vt:lpstr>Profile_LU_11</vt:lpstr>
      <vt:lpstr>Profile_LU_15</vt:lpstr>
      <vt:lpstr>Profile_LU_9</vt:lpstr>
      <vt:lpstr>Profile_LU11</vt:lpstr>
      <vt:lpstr>Profile_LU15</vt:lpstr>
      <vt:lpstr>Profile_LU9</vt:lpstr>
      <vt:lpstr>Satinato_Glass</vt:lpstr>
      <vt:lpstr>Smooth_Concrete</vt:lpstr>
      <vt:lpstr>Travertine_Concrete</vt:lpstr>
      <vt:lpstr>'Front Specification'!Yes</vt:lpstr>
      <vt:lpstr>Yes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Richard</dc:creator>
  <cp:lastModifiedBy>Nick</cp:lastModifiedBy>
  <cp:lastPrinted>2022-06-15T12:41:01Z</cp:lastPrinted>
  <dcterms:created xsi:type="dcterms:W3CDTF">2019-10-23T09:27:42Z</dcterms:created>
  <dcterms:modified xsi:type="dcterms:W3CDTF">2023-06-26T19:13:28Z</dcterms:modified>
</cp:coreProperties>
</file>